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CRITORIO27\Desktop\IPO\2016\"/>
    </mc:Choice>
  </mc:AlternateContent>
  <bookViews>
    <workbookView xWindow="0" yWindow="0" windowWidth="20400" windowHeight="6555" tabRatio="856" firstSheet="31" activeTab="35"/>
  </bookViews>
  <sheets>
    <sheet name="ANA PAULINA BECERRIL 58" sheetId="153" r:id="rId1"/>
    <sheet name="JESUS HOMERO FLORES 57" sheetId="152" r:id="rId2"/>
    <sheet name="ALFREDO SANCHEZ 56" sheetId="151" r:id="rId3"/>
    <sheet name="LUIS GONZALEZ B 54" sheetId="149" r:id="rId4"/>
    <sheet name="CASAR A MUÑIZ 52" sheetId="147" r:id="rId5"/>
    <sheet name="TERESA GUAJARDO 49" sheetId="144" r:id="rId6"/>
    <sheet name="JOSE MANUEL JIMENEZ 48" sheetId="142" r:id="rId7"/>
    <sheet name="ALFREDO SANCHEZ 47" sheetId="141" r:id="rId8"/>
    <sheet name="JOSE EDUARDO VEGA 46" sheetId="140" r:id="rId9"/>
    <sheet name="IGNACIO GALINDO RMZ 43" sheetId="136" r:id="rId10"/>
    <sheet name="LETICIA MARTINEZ 42" sheetId="137" r:id="rId11"/>
    <sheet name="JESUS HOMERO FLORES 40" sheetId="134" r:id="rId12"/>
    <sheet name="ALFONSO VILLARREAL 36" sheetId="130" r:id="rId13"/>
    <sheet name="IGNACIO GALINDO RMZ 31" sheetId="125" r:id="rId14"/>
    <sheet name="ARTURO VALDEZ RAMOS 28" sheetId="122" r:id="rId15"/>
    <sheet name="ALFREDO SANCHEZ 27" sheetId="121" r:id="rId16"/>
    <sheet name="JOSE EDUARDO VEGA 26" sheetId="120" r:id="rId17"/>
    <sheet name="LUIS GONZALEZ B 25" sheetId="119" r:id="rId18"/>
    <sheet name="MAYRA SOFIA DORANTES 24" sheetId="118" r:id="rId19"/>
    <sheet name="TERESA GUAJARDO 23" sheetId="117" r:id="rId20"/>
    <sheet name="JOSE MANUEL JIMENEZ 22" sheetId="116" r:id="rId21"/>
    <sheet name="ARTURO VALDEZ RAMOS 20" sheetId="114" r:id="rId22"/>
    <sheet name="JOSUE ISSAC MACIEL 18" sheetId="112" r:id="rId23"/>
    <sheet name="JAVIER DIEZ 17" sheetId="111" r:id="rId24"/>
    <sheet name="ANA PAULINA BECERRIL 16" sheetId="110" r:id="rId25"/>
    <sheet name="JESUS HOMERO FLORES 15" sheetId="109" r:id="rId26"/>
    <sheet name="JAVIER DIEZ 14" sheetId="108" r:id="rId27"/>
    <sheet name="MIGUEL ANGEL MEDINA 12" sheetId="106" r:id="rId28"/>
    <sheet name="LETICIA MARTINEZ 11" sheetId="105" r:id="rId29"/>
    <sheet name="IGNACIO GALINDO RMZ 10" sheetId="104" r:id="rId30"/>
    <sheet name="JESUS HOMERO FLORES 09" sheetId="103" r:id="rId31"/>
    <sheet name="ALFREDO SANCHEZ 08" sheetId="102" r:id="rId32"/>
    <sheet name="JOSE EDUARDO VEGA 07" sheetId="101" r:id="rId33"/>
    <sheet name="TERESA GUAJARDO 03" sheetId="97" r:id="rId34"/>
    <sheet name="ALFREDO SANCHEZ 02" sheetId="96" r:id="rId35"/>
    <sheet name="JOSE EDUARDO VEGA 01" sheetId="95" r:id="rId36"/>
  </sheets>
  <definedNames>
    <definedName name="_xlnm.Print_Area" localSheetId="12">'ALFONSO VILLARREAL 36'!$A$1:$N$64</definedName>
    <definedName name="_xlnm.Print_Area" localSheetId="34">'ALFREDO SANCHEZ 02'!$A$1:$N$64</definedName>
    <definedName name="_xlnm.Print_Area" localSheetId="31">'ALFREDO SANCHEZ 08'!$A$1:$N$64</definedName>
    <definedName name="_xlnm.Print_Area" localSheetId="15">'ALFREDO SANCHEZ 27'!$A$1:$N$64</definedName>
    <definedName name="_xlnm.Print_Area" localSheetId="7">'ALFREDO SANCHEZ 47'!$A$1:$N$64</definedName>
    <definedName name="_xlnm.Print_Area" localSheetId="2">'ALFREDO SANCHEZ 56'!$A$1:$N$64</definedName>
    <definedName name="_xlnm.Print_Area" localSheetId="24">'ANA PAULINA BECERRIL 16'!$A$1:$N$64</definedName>
    <definedName name="_xlnm.Print_Area" localSheetId="0">'ANA PAULINA BECERRIL 58'!$A$1:$N$64</definedName>
    <definedName name="_xlnm.Print_Area" localSheetId="21">'ARTURO VALDEZ RAMOS 20'!$A$1:$N$64</definedName>
    <definedName name="_xlnm.Print_Area" localSheetId="14">'ARTURO VALDEZ RAMOS 28'!$A$1:$N$64</definedName>
    <definedName name="_xlnm.Print_Area" localSheetId="4">'CASAR A MUÑIZ 52'!$A$1:$N$64</definedName>
    <definedName name="_xlnm.Print_Area" localSheetId="29">'IGNACIO GALINDO RMZ 10'!$A$1:$N$64</definedName>
    <definedName name="_xlnm.Print_Area" localSheetId="13">'IGNACIO GALINDO RMZ 31'!$A$1:$N$64</definedName>
    <definedName name="_xlnm.Print_Area" localSheetId="9">'IGNACIO GALINDO RMZ 43'!$A$1:$N$64</definedName>
    <definedName name="_xlnm.Print_Area" localSheetId="26">'JAVIER DIEZ 14'!$A$1:$N$64</definedName>
    <definedName name="_xlnm.Print_Area" localSheetId="23">'JAVIER DIEZ 17'!$A$1:$N$64</definedName>
    <definedName name="_xlnm.Print_Area" localSheetId="30">'JESUS HOMERO FLORES 09'!$A$1:$N$64</definedName>
    <definedName name="_xlnm.Print_Area" localSheetId="25">'JESUS HOMERO FLORES 15'!$A$1:$N$64</definedName>
    <definedName name="_xlnm.Print_Area" localSheetId="11">'JESUS HOMERO FLORES 40'!$A$1:$N$64</definedName>
    <definedName name="_xlnm.Print_Area" localSheetId="1">'JESUS HOMERO FLORES 57'!$A$1:$N$64</definedName>
    <definedName name="_xlnm.Print_Area" localSheetId="35">'JOSE EDUARDO VEGA 01'!$A$1:$N$64</definedName>
    <definedName name="_xlnm.Print_Area" localSheetId="32">'JOSE EDUARDO VEGA 07'!$A$1:$N$64</definedName>
    <definedName name="_xlnm.Print_Area" localSheetId="16">'JOSE EDUARDO VEGA 26'!$A$1:$N$64</definedName>
    <definedName name="_xlnm.Print_Area" localSheetId="8">'JOSE EDUARDO VEGA 46'!$A$1:$N$64</definedName>
    <definedName name="_xlnm.Print_Area" localSheetId="20">'JOSE MANUEL JIMENEZ 22'!$A$1:$N$64</definedName>
    <definedName name="_xlnm.Print_Area" localSheetId="6">'JOSE MANUEL JIMENEZ 48'!$A$1:$N$64</definedName>
    <definedName name="_xlnm.Print_Area" localSheetId="22">'JOSUE ISSAC MACIEL 18'!$A$1:$N$64</definedName>
    <definedName name="_xlnm.Print_Area" localSheetId="28">'LETICIA MARTINEZ 11'!$A$1:$N$64</definedName>
    <definedName name="_xlnm.Print_Area" localSheetId="10">'LETICIA MARTINEZ 42'!$A$1:$N$64</definedName>
    <definedName name="_xlnm.Print_Area" localSheetId="17">'LUIS GONZALEZ B 25'!$A$1:$N$64</definedName>
    <definedName name="_xlnm.Print_Area" localSheetId="3">'LUIS GONZALEZ B 54'!$A$1:$N$64</definedName>
    <definedName name="_xlnm.Print_Area" localSheetId="18">'MAYRA SOFIA DORANTES 24'!$A$1:$N$64</definedName>
    <definedName name="_xlnm.Print_Area" localSheetId="27">'MIGUEL ANGEL MEDINA 12'!$A$1:$N$64</definedName>
    <definedName name="_xlnm.Print_Area" localSheetId="33">'TERESA GUAJARDO 03'!$A$1:$N$64</definedName>
    <definedName name="_xlnm.Print_Area" localSheetId="19">'TERESA GUAJARDO 23'!$A$1:$N$64</definedName>
    <definedName name="_xlnm.Print_Area" localSheetId="5">'TERESA GUAJARDO 49'!$A$1:$N$64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03" l="1"/>
  <c r="F54" i="103" s="1"/>
  <c r="F49" i="103"/>
  <c r="F48" i="103"/>
  <c r="F45" i="153" l="1"/>
  <c r="F47" i="153" s="1"/>
  <c r="F52" i="153" s="1"/>
  <c r="F54" i="153" s="1"/>
  <c r="J36" i="153"/>
  <c r="M40" i="153" s="1"/>
  <c r="M26" i="153"/>
  <c r="M37" i="153" s="1"/>
  <c r="M43" i="153" s="1"/>
  <c r="M9" i="153" s="1"/>
  <c r="B11" i="153" s="1"/>
  <c r="F45" i="152"/>
  <c r="F47" i="152" s="1"/>
  <c r="F52" i="152" s="1"/>
  <c r="F54" i="152" s="1"/>
  <c r="J36" i="152"/>
  <c r="M40" i="152" s="1"/>
  <c r="M26" i="152"/>
  <c r="M37" i="152" s="1"/>
  <c r="M43" i="152" l="1"/>
  <c r="M9" i="152" s="1"/>
  <c r="B11" i="152" s="1"/>
  <c r="F45" i="151"/>
  <c r="F47" i="151" s="1"/>
  <c r="F52" i="151" s="1"/>
  <c r="F54" i="151" s="1"/>
  <c r="M37" i="151"/>
  <c r="J36" i="151"/>
  <c r="M40" i="151" s="1"/>
  <c r="M26" i="151"/>
  <c r="F54" i="149"/>
  <c r="F45" i="149"/>
  <c r="F47" i="149" s="1"/>
  <c r="F52" i="149" s="1"/>
  <c r="J36" i="149"/>
  <c r="M40" i="149" s="1"/>
  <c r="M26" i="149"/>
  <c r="M37" i="149" s="1"/>
  <c r="M43" i="151" l="1"/>
  <c r="M9" i="151" s="1"/>
  <c r="B11" i="151" s="1"/>
  <c r="M43" i="149"/>
  <c r="F45" i="147"/>
  <c r="F47" i="147" s="1"/>
  <c r="F52" i="147" s="1"/>
  <c r="F54" i="147" s="1"/>
  <c r="J36" i="147"/>
  <c r="M40" i="147" s="1"/>
  <c r="M26" i="147"/>
  <c r="M37" i="147" s="1"/>
  <c r="M43" i="147" s="1"/>
  <c r="M9" i="147" s="1"/>
  <c r="B11" i="147" s="1"/>
  <c r="M9" i="149" l="1"/>
  <c r="B11" i="149" s="1"/>
  <c r="F52" i="144" l="1"/>
  <c r="F54" i="144" s="1"/>
  <c r="F47" i="144"/>
  <c r="F45" i="144"/>
  <c r="M40" i="144"/>
  <c r="J36" i="144"/>
  <c r="M26" i="144"/>
  <c r="M37" i="144" s="1"/>
  <c r="M43" i="144" s="1"/>
  <c r="M9" i="144" s="1"/>
  <c r="B11" i="144" s="1"/>
  <c r="F53" i="102" l="1"/>
  <c r="F54" i="102" s="1"/>
  <c r="F52" i="102"/>
  <c r="F48" i="102"/>
  <c r="F44" i="102"/>
  <c r="F53" i="96" l="1"/>
  <c r="F54" i="96" s="1"/>
  <c r="F52" i="96"/>
  <c r="F44" i="96"/>
  <c r="F45" i="112"/>
  <c r="F53" i="108"/>
  <c r="F54" i="108" s="1"/>
  <c r="F49" i="108"/>
  <c r="F44" i="108"/>
  <c r="F44" i="111"/>
  <c r="F48" i="111"/>
  <c r="F45" i="111"/>
  <c r="F45" i="142"/>
  <c r="F47" i="142" s="1"/>
  <c r="F52" i="142" s="1"/>
  <c r="F54" i="142" s="1"/>
  <c r="M40" i="142"/>
  <c r="J36" i="142"/>
  <c r="M26" i="142"/>
  <c r="M37" i="142" s="1"/>
  <c r="M43" i="142" s="1"/>
  <c r="M9" i="142" s="1"/>
  <c r="B11" i="142" s="1"/>
  <c r="F45" i="141" l="1"/>
  <c r="F47" i="141" s="1"/>
  <c r="F52" i="141" s="1"/>
  <c r="F54" i="141" s="1"/>
  <c r="J36" i="141"/>
  <c r="M40" i="141" s="1"/>
  <c r="M26" i="141"/>
  <c r="M37" i="141" s="1"/>
  <c r="M43" i="141" s="1"/>
  <c r="M9" i="141" s="1"/>
  <c r="B11" i="141" s="1"/>
  <c r="F45" i="140"/>
  <c r="F47" i="140" s="1"/>
  <c r="F52" i="140" s="1"/>
  <c r="F54" i="140" s="1"/>
  <c r="J36" i="140"/>
  <c r="M40" i="140" s="1"/>
  <c r="M26" i="140"/>
  <c r="M37" i="140" s="1"/>
  <c r="M43" i="140" s="1"/>
  <c r="M9" i="140" s="1"/>
  <c r="B11" i="140" s="1"/>
  <c r="F53" i="114" l="1"/>
  <c r="F54" i="114" s="1"/>
  <c r="F52" i="114"/>
  <c r="F49" i="114"/>
  <c r="F48" i="114"/>
  <c r="F44" i="114"/>
  <c r="F53" i="130"/>
  <c r="F54" i="130" s="1"/>
  <c r="F48" i="130"/>
  <c r="F44" i="130"/>
  <c r="F53" i="118" l="1"/>
  <c r="F54" i="118" s="1"/>
  <c r="F44" i="118"/>
  <c r="F47" i="137" l="1"/>
  <c r="F52" i="137" s="1"/>
  <c r="F54" i="137" s="1"/>
  <c r="F45" i="137"/>
  <c r="M40" i="137"/>
  <c r="M37" i="137"/>
  <c r="M43" i="137" s="1"/>
  <c r="M9" i="137" s="1"/>
  <c r="B11" i="137" s="1"/>
  <c r="J36" i="137"/>
  <c r="M26" i="137"/>
  <c r="F45" i="136"/>
  <c r="F47" i="136" s="1"/>
  <c r="F52" i="136" s="1"/>
  <c r="M40" i="136"/>
  <c r="J36" i="136"/>
  <c r="M26" i="136"/>
  <c r="M37" i="136" s="1"/>
  <c r="M43" i="136" s="1"/>
  <c r="F44" i="117"/>
  <c r="F48" i="117"/>
  <c r="F53" i="119"/>
  <c r="F54" i="119" s="1"/>
  <c r="F48" i="119"/>
  <c r="F44" i="119"/>
  <c r="F44" i="116"/>
  <c r="F44" i="125"/>
  <c r="F53" i="104"/>
  <c r="F54" i="104" s="1"/>
  <c r="F52" i="104"/>
  <c r="F44" i="104"/>
  <c r="F54" i="136" l="1"/>
  <c r="M9" i="136"/>
  <c r="B11" i="136" s="1"/>
  <c r="F48" i="97"/>
  <c r="F44" i="97"/>
  <c r="F45" i="134" l="1"/>
  <c r="F47" i="134" s="1"/>
  <c r="F52" i="134" s="1"/>
  <c r="F54" i="134" s="1"/>
  <c r="M40" i="134"/>
  <c r="J36" i="134"/>
  <c r="M26" i="134"/>
  <c r="M37" i="134" s="1"/>
  <c r="M43" i="134" l="1"/>
  <c r="M9" i="134" s="1"/>
  <c r="B11" i="134" s="1"/>
  <c r="B18" i="130" l="1"/>
  <c r="F45" i="130"/>
  <c r="F47" i="130" s="1"/>
  <c r="F52" i="130" s="1"/>
  <c r="M40" i="130"/>
  <c r="J36" i="130"/>
  <c r="M26" i="130"/>
  <c r="M37" i="130" s="1"/>
  <c r="M43" i="130" s="1"/>
  <c r="M9" i="130" s="1"/>
  <c r="B11" i="130" s="1"/>
  <c r="F45" i="125" l="1"/>
  <c r="F47" i="125" s="1"/>
  <c r="F52" i="125" s="1"/>
  <c r="F53" i="125" s="1"/>
  <c r="F54" i="125" s="1"/>
  <c r="M40" i="125"/>
  <c r="J36" i="125"/>
  <c r="M26" i="125"/>
  <c r="M37" i="125" s="1"/>
  <c r="M43" i="125" s="1"/>
  <c r="M9" i="125" s="1"/>
  <c r="B11" i="125" s="1"/>
  <c r="F45" i="122" l="1"/>
  <c r="F47" i="122" s="1"/>
  <c r="F52" i="122" s="1"/>
  <c r="F54" i="122" s="1"/>
  <c r="J36" i="122"/>
  <c r="M40" i="122" s="1"/>
  <c r="M26" i="122"/>
  <c r="M37" i="122" s="1"/>
  <c r="F45" i="121"/>
  <c r="F47" i="121" s="1"/>
  <c r="F52" i="121" s="1"/>
  <c r="F54" i="121" s="1"/>
  <c r="M37" i="121"/>
  <c r="M43" i="121" s="1"/>
  <c r="M9" i="121" s="1"/>
  <c r="B11" i="121" s="1"/>
  <c r="J36" i="121"/>
  <c r="M40" i="121" s="1"/>
  <c r="M26" i="121"/>
  <c r="F45" i="120"/>
  <c r="F47" i="120" s="1"/>
  <c r="F52" i="120" s="1"/>
  <c r="F54" i="120" s="1"/>
  <c r="M40" i="120"/>
  <c r="J36" i="120"/>
  <c r="M26" i="120"/>
  <c r="M37" i="120" s="1"/>
  <c r="M43" i="120" s="1"/>
  <c r="M9" i="120" s="1"/>
  <c r="B11" i="120" s="1"/>
  <c r="M43" i="122" l="1"/>
  <c r="M9" i="122" s="1"/>
  <c r="B11" i="122" s="1"/>
  <c r="J36" i="119"/>
  <c r="F45" i="119" l="1"/>
  <c r="F47" i="119" s="1"/>
  <c r="F52" i="119" s="1"/>
  <c r="M40" i="119"/>
  <c r="M26" i="119"/>
  <c r="M37" i="119" s="1"/>
  <c r="M43" i="119" l="1"/>
  <c r="M9" i="119" s="1"/>
  <c r="B11" i="119" s="1"/>
  <c r="F45" i="118"/>
  <c r="F47" i="118" s="1"/>
  <c r="F52" i="118" s="1"/>
  <c r="J36" i="118"/>
  <c r="M40" i="118" s="1"/>
  <c r="M26" i="118"/>
  <c r="M37" i="118" s="1"/>
  <c r="M43" i="118" s="1"/>
  <c r="M9" i="118" s="1"/>
  <c r="B11" i="118" s="1"/>
  <c r="F45" i="117"/>
  <c r="F47" i="117" s="1"/>
  <c r="F52" i="117" s="1"/>
  <c r="F53" i="117" s="1"/>
  <c r="F54" i="117" s="1"/>
  <c r="J36" i="117"/>
  <c r="M40" i="117" s="1"/>
  <c r="M26" i="117"/>
  <c r="M37" i="117" s="1"/>
  <c r="M43" i="117" l="1"/>
  <c r="M9" i="117" s="1"/>
  <c r="B11" i="117" s="1"/>
  <c r="F45" i="116" l="1"/>
  <c r="F47" i="116" s="1"/>
  <c r="F52" i="116" s="1"/>
  <c r="F53" i="116" s="1"/>
  <c r="F54" i="116" s="1"/>
  <c r="J36" i="116"/>
  <c r="M40" i="116" s="1"/>
  <c r="M26" i="116"/>
  <c r="M37" i="116" s="1"/>
  <c r="M43" i="116" s="1"/>
  <c r="M9" i="116" s="1"/>
  <c r="B11" i="116" s="1"/>
  <c r="F45" i="114" l="1"/>
  <c r="F47" i="114" s="1"/>
  <c r="J36" i="114"/>
  <c r="M40" i="114" s="1"/>
  <c r="M26" i="114"/>
  <c r="M37" i="114" s="1"/>
  <c r="M43" i="114" l="1"/>
  <c r="M9" i="114" s="1"/>
  <c r="B11" i="114" s="1"/>
  <c r="F47" i="112"/>
  <c r="F52" i="112" s="1"/>
  <c r="F53" i="112" s="1"/>
  <c r="F54" i="112" s="1"/>
  <c r="J36" i="112"/>
  <c r="M40" i="112" s="1"/>
  <c r="M26" i="112"/>
  <c r="M37" i="112" s="1"/>
  <c r="F47" i="111"/>
  <c r="F52" i="111" s="1"/>
  <c r="F53" i="111" s="1"/>
  <c r="F54" i="111" s="1"/>
  <c r="J36" i="111"/>
  <c r="M40" i="111" s="1"/>
  <c r="M26" i="111"/>
  <c r="M37" i="111" s="1"/>
  <c r="M43" i="112" l="1"/>
  <c r="M9" i="112" s="1"/>
  <c r="B11" i="112" s="1"/>
  <c r="M43" i="111"/>
  <c r="M9" i="111" s="1"/>
  <c r="B11" i="111" s="1"/>
  <c r="F45" i="110"/>
  <c r="F47" i="110" s="1"/>
  <c r="F52" i="110" s="1"/>
  <c r="F54" i="110" s="1"/>
  <c r="M37" i="110"/>
  <c r="J36" i="110"/>
  <c r="M40" i="110" s="1"/>
  <c r="M26" i="110"/>
  <c r="F45" i="109"/>
  <c r="F47" i="109" s="1"/>
  <c r="F52" i="109" s="1"/>
  <c r="F54" i="109" s="1"/>
  <c r="J36" i="109"/>
  <c r="M40" i="109" s="1"/>
  <c r="M26" i="109"/>
  <c r="M37" i="109" s="1"/>
  <c r="M43" i="110" l="1"/>
  <c r="M9" i="110" s="1"/>
  <c r="B11" i="110" s="1"/>
  <c r="M43" i="109"/>
  <c r="M9" i="109" s="1"/>
  <c r="B11" i="109" s="1"/>
  <c r="F45" i="108"/>
  <c r="F47" i="108" s="1"/>
  <c r="F52" i="108" s="1"/>
  <c r="J36" i="108"/>
  <c r="M40" i="108" s="1"/>
  <c r="M26" i="108"/>
  <c r="M37" i="108" s="1"/>
  <c r="M43" i="108" l="1"/>
  <c r="M9" i="108" s="1"/>
  <c r="B11" i="108" s="1"/>
  <c r="F45" i="106" l="1"/>
  <c r="F47" i="106" s="1"/>
  <c r="F52" i="106" s="1"/>
  <c r="F54" i="106" s="1"/>
  <c r="J36" i="106"/>
  <c r="M40" i="106" s="1"/>
  <c r="M26" i="106"/>
  <c r="M37" i="106" s="1"/>
  <c r="M43" i="106" l="1"/>
  <c r="M9" i="106" s="1"/>
  <c r="B11" i="106" s="1"/>
  <c r="F45" i="105"/>
  <c r="F47" i="105" s="1"/>
  <c r="F52" i="105" s="1"/>
  <c r="F54" i="105" s="1"/>
  <c r="J36" i="105"/>
  <c r="M40" i="105" s="1"/>
  <c r="M26" i="105"/>
  <c r="M37" i="105" s="1"/>
  <c r="M43" i="105" l="1"/>
  <c r="M9" i="105" s="1"/>
  <c r="B11" i="105" s="1"/>
  <c r="F45" i="104"/>
  <c r="F47" i="104" s="1"/>
  <c r="M37" i="104"/>
  <c r="J36" i="104"/>
  <c r="M40" i="104" s="1"/>
  <c r="M26" i="104"/>
  <c r="M43" i="104" l="1"/>
  <c r="M9" i="104" s="1"/>
  <c r="B11" i="104" s="1"/>
  <c r="F45" i="103"/>
  <c r="F47" i="103" s="1"/>
  <c r="F52" i="103" s="1"/>
  <c r="M37" i="103"/>
  <c r="J36" i="103"/>
  <c r="M40" i="103" s="1"/>
  <c r="M26" i="103"/>
  <c r="M43" i="103" l="1"/>
  <c r="M9" i="103" s="1"/>
  <c r="B11" i="103" s="1"/>
  <c r="J36" i="102"/>
  <c r="F45" i="102" l="1"/>
  <c r="F47" i="102" s="1"/>
  <c r="M37" i="102"/>
  <c r="M40" i="102"/>
  <c r="M26" i="102"/>
  <c r="F45" i="101"/>
  <c r="F47" i="101" s="1"/>
  <c r="F52" i="101" s="1"/>
  <c r="F54" i="101" s="1"/>
  <c r="J36" i="101"/>
  <c r="M40" i="101" s="1"/>
  <c r="M26" i="101"/>
  <c r="M37" i="101" s="1"/>
  <c r="M43" i="101" s="1"/>
  <c r="M9" i="101" s="1"/>
  <c r="B11" i="101" s="1"/>
  <c r="M43" i="102" l="1"/>
  <c r="M9" i="102" s="1"/>
  <c r="B11" i="102" s="1"/>
  <c r="F45" i="97" l="1"/>
  <c r="F47" i="97" s="1"/>
  <c r="F52" i="97" s="1"/>
  <c r="F53" i="97" s="1"/>
  <c r="F54" i="97" s="1"/>
  <c r="M40" i="97"/>
  <c r="J36" i="97"/>
  <c r="M26" i="97"/>
  <c r="M37" i="97" s="1"/>
  <c r="M43" i="97" l="1"/>
  <c r="M9" i="97" s="1"/>
  <c r="B11" i="97" s="1"/>
  <c r="F45" i="96" l="1"/>
  <c r="F47" i="96" s="1"/>
  <c r="M37" i="96"/>
  <c r="J36" i="96"/>
  <c r="M40" i="96" s="1"/>
  <c r="M26" i="96"/>
  <c r="F45" i="95"/>
  <c r="F47" i="95" s="1"/>
  <c r="F52" i="95" s="1"/>
  <c r="F54" i="95" s="1"/>
  <c r="J36" i="95"/>
  <c r="M40" i="95" s="1"/>
  <c r="M26" i="95"/>
  <c r="M37" i="95" s="1"/>
  <c r="M43" i="95" l="1"/>
  <c r="M9" i="95" s="1"/>
  <c r="B11" i="95" s="1"/>
  <c r="M43" i="96"/>
  <c r="M9" i="96" s="1"/>
  <c r="B11" i="96" s="1"/>
</calcChain>
</file>

<file path=xl/sharedStrings.xml><?xml version="1.0" encoding="utf-8"?>
<sst xmlns="http://schemas.openxmlformats.org/spreadsheetml/2006/main" count="4059" uniqueCount="180">
  <si>
    <t>FOLIO</t>
  </si>
  <si>
    <t>ICAI-DA-F-04</t>
  </si>
  <si>
    <t>.</t>
  </si>
  <si>
    <t>RECIBO DE VIÁTICOS</t>
  </si>
  <si>
    <t xml:space="preserve">Ramos Arizpe Coah. </t>
  </si>
  <si>
    <t>de</t>
  </si>
  <si>
    <t>POR:</t>
  </si>
  <si>
    <t>R   E   C   I   B   I   del Instituto Coahuilense de Acceso a la Información , la cantidad de - - - - - - - - - - -- - - - - - - - - -</t>
  </si>
  <si>
    <t xml:space="preserve">por concepto de viáticos en comisión conferida para   - - - - - - - -- - - - - - - - - - - - - - - - - - - - - - - - - - - - - - - - - - - </t>
  </si>
  <si>
    <t xml:space="preserve">  </t>
  </si>
  <si>
    <t xml:space="preserve"> </t>
  </si>
  <si>
    <t xml:space="preserve">durante los días del </t>
  </si>
  <si>
    <t>AL</t>
  </si>
  <si>
    <t xml:space="preserve"> de </t>
  </si>
  <si>
    <t>Vehículo part.</t>
  </si>
  <si>
    <t xml:space="preserve">Vehículo Oficial  </t>
  </si>
  <si>
    <t>X</t>
  </si>
  <si>
    <t>Avión</t>
  </si>
  <si>
    <t>Otro</t>
  </si>
  <si>
    <t>DATOS DEL VEHÍCULO</t>
  </si>
  <si>
    <t>Marca</t>
  </si>
  <si>
    <t>Tipo</t>
  </si>
  <si>
    <t>Cilindros</t>
  </si>
  <si>
    <t>Placas</t>
  </si>
  <si>
    <t>Hospedaje y Alimentación</t>
  </si>
  <si>
    <t>Número de Días</t>
  </si>
  <si>
    <t>Tarifa</t>
  </si>
  <si>
    <t>Zona Única</t>
  </si>
  <si>
    <t>a</t>
  </si>
  <si>
    <t>Diarios</t>
  </si>
  <si>
    <t>Sin Pernoctar</t>
  </si>
  <si>
    <t xml:space="preserve">Total.         </t>
  </si>
  <si>
    <t>Combustible</t>
  </si>
  <si>
    <t>Km..</t>
  </si>
  <si>
    <t>factor</t>
  </si>
  <si>
    <t xml:space="preserve">Depreciación de automóvil por kilómetro p/vehículos particulares </t>
  </si>
  <si>
    <t>Tipo de Cambio</t>
  </si>
  <si>
    <t xml:space="preserve">   </t>
  </si>
  <si>
    <t>Peaje</t>
  </si>
  <si>
    <t>comprobación que se anexa</t>
  </si>
  <si>
    <t>Estacionamiento</t>
  </si>
  <si>
    <t>Pasajes</t>
  </si>
  <si>
    <t xml:space="preserve">Hospedaje </t>
  </si>
  <si>
    <t>Total por cobrar</t>
  </si>
  <si>
    <t>Alimentación</t>
  </si>
  <si>
    <t>Total por pagar</t>
  </si>
  <si>
    <t>Total</t>
  </si>
  <si>
    <t>No Comprobable</t>
  </si>
  <si>
    <t>Observaciones:</t>
  </si>
  <si>
    <t>Cuota Peaje</t>
  </si>
  <si>
    <t xml:space="preserve">                                                                                            </t>
  </si>
  <si>
    <t>Depreciación por vehiculo</t>
  </si>
  <si>
    <t>Devolución de viáticos</t>
  </si>
  <si>
    <t>A U T O R I Z O</t>
  </si>
  <si>
    <t>R  E  C  I  B  I</t>
  </si>
  <si>
    <t>N  o  m  b  r  e</t>
  </si>
  <si>
    <t>P u e s t o</t>
  </si>
  <si>
    <t>Cta.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</si>
  <si>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</si>
  <si>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RAMOS ARIZPE</t>
  </si>
  <si>
    <t>MONCLOVA</t>
  </si>
  <si>
    <t>CUATRO CIENEGAS</t>
  </si>
  <si>
    <t>JOSE EDUARDO VEGA LUNA</t>
  </si>
  <si>
    <t>JEFE DEL DEPTO. DE INOVACION DE PROYECTOS</t>
  </si>
  <si>
    <t>IMPARTIR CURSO LEY DE ACCESO A LA INFORMACION Y PROTECCION DE DATOS EN LA UNIVERSIDAD TECNOLOGICA DE</t>
  </si>
  <si>
    <t>ALFREDO SANCHEZ MARIN</t>
  </si>
  <si>
    <t>JEFE DEL DEPTARTAMENTO DE PROMOCION CULTURAL</t>
  </si>
  <si>
    <t>CUATRO  MIL NOVECIENTOS NOVENTA Y CINCO PESOS 00/100 MN</t>
  </si>
  <si>
    <t>FEBRERO</t>
  </si>
  <si>
    <t>SAN BUENAVENTURA</t>
  </si>
  <si>
    <t>CINCO MIL SETECIENTOS OCHENTA Y SEIS PESOS 52/100 MN</t>
  </si>
  <si>
    <t>LA REGION CENTRO EN LOS MUNICIPIOS DE MONCLOVA, CUATROCIENEGAS Y SAN BUENAVENTURA, COAH.</t>
  </si>
  <si>
    <t>LIC. JORGE ARMANDO GOMEZ CHAVEZ</t>
  </si>
  <si>
    <t>DIRECTOR DE ADMINISTRACION Y FINANZAS</t>
  </si>
  <si>
    <t>SALTILLO</t>
  </si>
  <si>
    <t>TERESA GUAJARDO BERLANGA</t>
  </si>
  <si>
    <t>COMISIONADA</t>
  </si>
  <si>
    <t>LIC. MAYRA SOFIA DORANTES RODRIGUEZ</t>
  </si>
  <si>
    <t>SABINAS</t>
  </si>
  <si>
    <t>VISITA A LA RGION CARBONIFERA PARA LA PROMOCION DE LA LEY DE ACCESO A LA INFORMACION EN SABINAS, COAH.</t>
  </si>
  <si>
    <t>TRES MIL NOVECIENTOS DIECISIETE PESOS 82/100 MN</t>
  </si>
  <si>
    <t>JEFE DEL DEPARTAMENTO DE LO CONSULTIVO Y LO NORMATIVO</t>
  </si>
  <si>
    <t>TORREON</t>
  </si>
  <si>
    <t>TRANSITO LOCAL</t>
  </si>
  <si>
    <t>LA REGION CENTRO EN EL MUNICIPIO DE MONCLOVA, COAH.</t>
  </si>
  <si>
    <t>CUATRO MIL NOVECIENTOS NOVENTA Y CINCO PESOS 00/100 MN</t>
  </si>
  <si>
    <t>CINCO  MIL SETECIENTOS CUARENTA Y SIETE PESOS 72/100 MN</t>
  </si>
  <si>
    <t>ASISTENCIA A INAUGURACIÓN DE LAS OBRAS DE MODERNIZACION DEL AEROPUERTO INTERNACIONAL PIEDRAS NEGRAS</t>
  </si>
  <si>
    <t>"GENERAL EULALIO GUTIERREZ ORTIZ" EN EL MUNICIPIO DE NAVA, COAH.</t>
  </si>
  <si>
    <t>NAVA</t>
  </si>
  <si>
    <t>LIC. JESUS HOMERO FLORES MIER</t>
  </si>
  <si>
    <t>COMISIONADO PRESIDENTE</t>
  </si>
  <si>
    <t>CUATRO MIL CIENTO VEINTISIETE PESOS 34/100 MN</t>
  </si>
  <si>
    <t>LIC. IGNACIO GALINDO RAMIREZ</t>
  </si>
  <si>
    <t>JEFE DEL DEPTARTAMENTO DE INFORMACION RESERVADA</t>
  </si>
  <si>
    <t>UN  MIL SEISCIENTOS SESENTA Y CINCO PESOS 00/100 MN</t>
  </si>
  <si>
    <t>LIC. LETICIA MARTINEZ FLORES</t>
  </si>
  <si>
    <t>DIRECTORA DE CULTURA DE LA TRANSPARENCIA</t>
  </si>
  <si>
    <t xml:space="preserve">ASISTENCIA A SESION DE CONSEJO GENERAL DEL ICAI EN SAN BUENAVENTURA  Y SESION DE SECRETARIADO TECNICO </t>
  </si>
  <si>
    <t>TRIPARTITA DE GOBIERNO ABIERTO EN MONCLOVA, COAH.</t>
  </si>
  <si>
    <t>DOS  MIL SEISCIENTOS OCHENTA Y UN PESOS 72/100 MN</t>
  </si>
  <si>
    <t>LIC. MIGUEL ANGEL MEDINA TORRES</t>
  </si>
  <si>
    <t>DIRECTOR GENERAL</t>
  </si>
  <si>
    <t>CASTAÑOS</t>
  </si>
  <si>
    <t>CANDELA</t>
  </si>
  <si>
    <t>NADADORES</t>
  </si>
  <si>
    <t>ASISTENCIA A SESION DE CONSEJO GENERAL DEL ICAI EN SAN BUENAVENTURA,  REUNION DEL STTL EN MONCLOVA</t>
  </si>
  <si>
    <t>Y REUNION CON ALCALDES DE CANDELA, CASTAÑOS Y NADADORES, COAH.</t>
  </si>
  <si>
    <t>SEIS  MIL TRESCIENTOS CINCO PESOS 63/100 MN</t>
  </si>
  <si>
    <t>DOS  MIL SETECIENTOS SETENTA Y CINCO PESOS 00/100 MN</t>
  </si>
  <si>
    <t>LIC. FRANCISCO JAVIER DIEZ DE URDANIVIA</t>
  </si>
  <si>
    <t>SECRETARIO TECNICO</t>
  </si>
  <si>
    <t>ASISTENCIA A MESAS DE SEGURIDAD Y JUSTICIA PGJE LAGUNA EN TORREON, COAH.</t>
  </si>
  <si>
    <t>UN MIL SETECIENTOS TREINTA Y CINCO PESOS 70/100 MN</t>
  </si>
  <si>
    <t>ASISTENCIA A SESION EXTRAORDINARIA DEL CONSEJO GENERAL, SESION DEL SECRETARIADO TECNICO Y GIRA DE</t>
  </si>
  <si>
    <t>TRABAJO EN LA REGION CENTRO DE COAHUILA</t>
  </si>
  <si>
    <t>CINCO MIL NOVECIENTOS OCHENTA Y SEIS PESOS 50/100 MN</t>
  </si>
  <si>
    <t>ANA PAULINA BECERRIL GAYTAN</t>
  </si>
  <si>
    <t>JEFE DEL DEPARTAMENTO DE INNOVACIÓN DE PROYECTOS</t>
  </si>
  <si>
    <t>LA MADRID Y MONCLOVA, COAH.</t>
  </si>
  <si>
    <t xml:space="preserve">ASESORIA IPO Y ASISTENCIA A SESION ESTRAORDINARIA DEL CONSEJO GENERAL EN SAN BUENAVENTURA, NADADORES, </t>
  </si>
  <si>
    <t>LA MADRID</t>
  </si>
  <si>
    <t>DOS MIL OCHOCIENTOS DOS PESOS 00/100 MN</t>
  </si>
  <si>
    <t>LIC. JOSUE ISAAC MACIEL TERAN</t>
  </si>
  <si>
    <t>JEFE DE PROCEDIMEINTOS</t>
  </si>
  <si>
    <t xml:space="preserve">IMPARTIR CURSO DERECHO DE ACCESO A LA INFORMACION PUBLICA Y PROTECCION DE DATOS PERSONALES EN CECYTEC </t>
  </si>
  <si>
    <t>EN EL MUNICIPIO DE TORREON, COAH.</t>
  </si>
  <si>
    <t>ARTURO EDUARDO VALDEZ RAMOS</t>
  </si>
  <si>
    <t>DEPARTAMENTO DE PROMOCION CULTURAL</t>
  </si>
  <si>
    <t>SEIS  MIL TREINTA Y CUATRO PESOS 00/100 MN</t>
  </si>
  <si>
    <t>C.P. JOSE MANUEL JIMENEZ Y MELENDEZ</t>
  </si>
  <si>
    <t>COMISIONADO</t>
  </si>
  <si>
    <t>TRES MIL SETECIENTOS SESENTA Y SEIS PESOS 50/100 MN</t>
  </si>
  <si>
    <t>SABINAS, COAH. (AGENDA DE PROMOCION DE LA TRANSPARENCIA)</t>
  </si>
  <si>
    <t xml:space="preserve">ASISTENCIA A LA 61° SESION EXTRAORDINARIA DEL CONSEJO GENERAL EN MONCLOVA Y ENTREVISTA CANAL STV EN </t>
  </si>
  <si>
    <t>TRES MIL NOVECIENTOS VEINTICUATRO PESOS 61/100 MN</t>
  </si>
  <si>
    <t>LUIS GONZALEZ BRISEÑO</t>
  </si>
  <si>
    <t xml:space="preserve">COMISIONADO </t>
  </si>
  <si>
    <t xml:space="preserve">ASISTENCIA A SESION EXTRAORDINARIA DEL CONSEJO GENERAL EN SAN BUENAVENTURA Y  SESION DEL SECRETARIADO </t>
  </si>
  <si>
    <t>TECNICO EN MONCLOVA, COAHUILA</t>
  </si>
  <si>
    <t>UN MIL QUINIENTOS CINCUENTA Y SEIS PESOS 20/100 MN</t>
  </si>
  <si>
    <t>GENERAL CEPEDA</t>
  </si>
  <si>
    <t>EN EL MUNICIPIO DE GENERAL CEPEDA, COAH.</t>
  </si>
  <si>
    <t>TRES  MIL DOSCIENTOS NOVENTA Y CUATRO PESOS 40/100 MN</t>
  </si>
  <si>
    <t>QUINIENTOS CINCUENTA Y CINCO PESOS 00/100 MN</t>
  </si>
  <si>
    <t xml:space="preserve">ASISTENCIA A LA 61 SESION EXTRAORDINARIA DEL CONSEJO GENERALEN SAN BUENAVENTURA Y REUNION DE TRABAJO CON </t>
  </si>
  <si>
    <t>EL SECRETARIADO TECNICO EN MONCLOVA, COAH.</t>
  </si>
  <si>
    <t>LIC. ALFONSO RAUL VILLARREAL  BARRERA</t>
  </si>
  <si>
    <t>COMISIONADO PROPIETARIO</t>
  </si>
  <si>
    <t>UN MIL QUINIENTOS CUARENTA Y SEIS PESOS 50/100 MN</t>
  </si>
  <si>
    <t>ASISTENCIA A LA 1° SESION ORDINARIA DE LA COMISION DE ARCHIVOS Y GESTION DOCUMENTAL Y SESION DEL CONSEJO</t>
  </si>
  <si>
    <t>MEXICO, CD DE MEXICO</t>
  </si>
  <si>
    <t>SEIS MIL SEISCIENTOS SESENTA PESOS 00/100 MN</t>
  </si>
  <si>
    <t>NACIONAL DEL SNT EN LA CD DE MEXICO, CDM.</t>
  </si>
  <si>
    <t>CH</t>
  </si>
  <si>
    <t>RECARGA TELEFONICA POR $ 200.00</t>
  </si>
  <si>
    <t>ASISTENCIA A ENCUENTRO DE CIUDADES ABIERTAS E INNOVADORAS 2016 EN LA CD DE MEXICO, CD DE MEX.</t>
  </si>
  <si>
    <t>MEXICO</t>
  </si>
  <si>
    <t>CUATRO MIL CIENTO SESENTA Y DOS PESOS 50/100 MN</t>
  </si>
  <si>
    <t>TRES MIL TRESCIENTOS TREINTA PESOS 00/100 MN</t>
  </si>
  <si>
    <t>TRANSFER. 265</t>
  </si>
  <si>
    <t xml:space="preserve">CH </t>
  </si>
  <si>
    <t>MARZO</t>
  </si>
  <si>
    <t>FINALIZAR CURSO LEY DE ACCESO A LA INFORMACION Y PROTECCION DE DATOS EN LA UNIVERSIDAD TECNOLOGICA DE</t>
  </si>
  <si>
    <t>ASISTENCIA A SESION ORDINARIA DE GOBIERNO ABIETO Y TRANSPARENCIA PROACTIVA Y A SESION EXTRAORDINARIA DE</t>
  </si>
  <si>
    <t>LA COMISION DE VINCULACION ENTIDADES FEDERATIVAS Y MUNICIPIOS EN LA CD DE MEXICO, CDM.</t>
  </si>
  <si>
    <t>TRES MIL NOVECIENTOS NOVENTA Y SEIS PESOS 00/100 MN</t>
  </si>
  <si>
    <t>RECARGA TELEFONICA POR $200.00</t>
  </si>
  <si>
    <t>ASISTENCIA A INAUGURACION DEL CENTRO CULTURAL LYLI Y EDILBERTO MONTEMAYOR SEGUY EN SABINAS, COAH.</t>
  </si>
  <si>
    <t>LIC. CESAR ABELARDO MUÑIZ MOTAS</t>
  </si>
  <si>
    <t>DIRECTOR DE DATOS PERSONALES</t>
  </si>
  <si>
    <t>SUPERVISION DE LOS TRABAJOS REALIZADOS POR PERSONAL DEL ICAI EN EL MARCO DEL CONVENIO DE COLABORACION</t>
  </si>
  <si>
    <t>ICAI-PJGE  EN EL MUNICIPIO DE TORREON, COAH.</t>
  </si>
  <si>
    <t>TRES  MIL CIENTO VEINTITRES PESOS 20/100 MN</t>
  </si>
  <si>
    <t>SEIS MIL CUATROCIENTOS OCHENTA Y DOS PESOS 30/100 MN</t>
  </si>
  <si>
    <t>INICIAR CURSO LEY DE ACCESO A LA INFORMACION Y PROTECCION DE DATOS EN EL INSTITUTO TECNOLOGICO DE</t>
  </si>
  <si>
    <t>ASISTENCIA AL EVENTO EN MARCO DE LA CELEBRACION DEL DIA INTERNACIONAL DEL DATO ABIERTO EN TORREON, COAH.</t>
  </si>
  <si>
    <t>DOS MIL DOSCIENTOS PESOS 00/100 MN</t>
  </si>
  <si>
    <t>CUATRO MIL QUINIENTOS DOCE PESOS 20/100 MN</t>
  </si>
  <si>
    <t>REUNION DE TRABAJO CON EL EJECUTIVO EN EL MUNICIPIO DE MONCLOVA, COAH.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</si>
</sst>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9"/>
      <name val="BankGothic Md BT"/>
      <family val="2"/>
    </font>
    <font>
      <b/>
      <sz val="8"/>
      <color indexed="9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4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8" xfId="0" applyFont="1" applyBorder="1"/>
    <xf numFmtId="0" fontId="4" fillId="0" borderId="9" xfId="0" applyFont="1" applyBorder="1" applyAlignment="1">
      <alignment horizontal="right"/>
    </xf>
    <xf numFmtId="0" fontId="4" fillId="0" borderId="0" xfId="0" applyFont="1" applyBorder="1"/>
    <xf numFmtId="0" fontId="4" fillId="0" borderId="9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/>
    <xf numFmtId="0" fontId="4" fillId="0" borderId="13" xfId="0" applyFont="1" applyBorder="1" applyAlignment="1">
      <alignment horizontal="center"/>
    </xf>
    <xf numFmtId="38" fontId="2" fillId="0" borderId="12" xfId="0" applyNumberFormat="1" applyFont="1" applyBorder="1" applyAlignment="1">
      <alignment horizontal="center"/>
    </xf>
    <xf numFmtId="0" fontId="2" fillId="0" borderId="11" xfId="0" applyFont="1" applyFill="1" applyBorder="1"/>
    <xf numFmtId="44" fontId="2" fillId="0" borderId="9" xfId="0" applyNumberFormat="1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0" xfId="0" applyFont="1" applyFill="1" applyBorder="1"/>
    <xf numFmtId="0" fontId="2" fillId="0" borderId="9" xfId="0" applyFont="1" applyFill="1" applyBorder="1"/>
    <xf numFmtId="2" fontId="2" fillId="0" borderId="12" xfId="0" applyNumberFormat="1" applyFont="1" applyBorder="1"/>
    <xf numFmtId="0" fontId="2" fillId="0" borderId="17" xfId="0" applyFont="1" applyBorder="1"/>
    <xf numFmtId="0" fontId="3" fillId="0" borderId="18" xfId="0" applyFont="1" applyBorder="1"/>
    <xf numFmtId="0" fontId="2" fillId="0" borderId="18" xfId="0" applyFont="1" applyBorder="1"/>
    <xf numFmtId="0" fontId="2" fillId="0" borderId="19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2" fillId="0" borderId="0" xfId="0" applyNumberFormat="1" applyFont="1" applyBorder="1"/>
    <xf numFmtId="0" fontId="2" fillId="0" borderId="20" xfId="0" applyFont="1" applyBorder="1"/>
    <xf numFmtId="0" fontId="2" fillId="0" borderId="7" xfId="0" applyFont="1" applyBorder="1"/>
    <xf numFmtId="43" fontId="2" fillId="0" borderId="0" xfId="0" applyNumberFormat="1" applyFont="1"/>
    <xf numFmtId="164" fontId="4" fillId="0" borderId="18" xfId="1" applyFont="1" applyBorder="1" applyAlignment="1"/>
    <xf numFmtId="164" fontId="4" fillId="0" borderId="21" xfId="1" applyFont="1" applyBorder="1" applyAlignment="1"/>
    <xf numFmtId="43" fontId="4" fillId="0" borderId="0" xfId="0" applyNumberFormat="1" applyFont="1" applyBorder="1"/>
    <xf numFmtId="0" fontId="2" fillId="0" borderId="21" xfId="0" applyFont="1" applyBorder="1"/>
    <xf numFmtId="0" fontId="4" fillId="0" borderId="22" xfId="0" applyFont="1" applyBorder="1"/>
    <xf numFmtId="0" fontId="4" fillId="0" borderId="11" xfId="0" applyFont="1" applyBorder="1"/>
    <xf numFmtId="0" fontId="4" fillId="0" borderId="23" xfId="0" applyFont="1" applyBorder="1"/>
    <xf numFmtId="164" fontId="2" fillId="0" borderId="0" xfId="0" applyNumberFormat="1" applyFont="1" applyBorder="1"/>
    <xf numFmtId="0" fontId="4" fillId="0" borderId="5" xfId="0" applyFont="1" applyBorder="1"/>
    <xf numFmtId="0" fontId="2" fillId="0" borderId="6" xfId="0" applyFont="1" applyBorder="1"/>
    <xf numFmtId="0" fontId="2" fillId="0" borderId="22" xfId="0" applyFont="1" applyBorder="1"/>
    <xf numFmtId="0" fontId="2" fillId="0" borderId="11" xfId="0" applyFont="1" applyBorder="1" applyAlignment="1">
      <alignment horizontal="right"/>
    </xf>
    <xf numFmtId="0" fontId="2" fillId="0" borderId="5" xfId="0" applyFont="1" applyBorder="1"/>
    <xf numFmtId="0" fontId="2" fillId="0" borderId="26" xfId="0" applyFont="1" applyBorder="1"/>
    <xf numFmtId="0" fontId="2" fillId="0" borderId="10" xfId="0" applyFont="1" applyBorder="1"/>
    <xf numFmtId="0" fontId="4" fillId="0" borderId="10" xfId="0" applyFont="1" applyBorder="1"/>
    <xf numFmtId="0" fontId="4" fillId="2" borderId="10" xfId="0" applyFont="1" applyFill="1" applyBorder="1"/>
    <xf numFmtId="16" fontId="2" fillId="0" borderId="27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7" fillId="0" borderId="22" xfId="0" applyFont="1" applyBorder="1"/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3" borderId="10" xfId="0" applyFont="1" applyFill="1" applyBorder="1"/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4" fillId="0" borderId="5" xfId="1" applyFont="1" applyBorder="1" applyAlignment="1"/>
    <xf numFmtId="164" fontId="4" fillId="0" borderId="6" xfId="1" applyFont="1" applyBorder="1" applyAlignment="1"/>
    <xf numFmtId="164" fontId="2" fillId="0" borderId="0" xfId="1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4" fontId="2" fillId="0" borderId="5" xfId="1" applyFont="1" applyBorder="1" applyAlignment="1">
      <alignment horizontal="center"/>
    </xf>
    <xf numFmtId="164" fontId="2" fillId="0" borderId="15" xfId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164" fontId="2" fillId="0" borderId="5" xfId="1" applyFont="1" applyBorder="1" applyAlignment="1">
      <alignment horizontal="left"/>
    </xf>
    <xf numFmtId="164" fontId="2" fillId="0" borderId="6" xfId="1" applyFont="1" applyBorder="1" applyAlignment="1">
      <alignment horizontal="left"/>
    </xf>
    <xf numFmtId="164" fontId="2" fillId="0" borderId="5" xfId="1" applyFont="1" applyBorder="1" applyAlignment="1"/>
    <xf numFmtId="164" fontId="2" fillId="0" borderId="6" xfId="1" applyFont="1" applyBorder="1" applyAlignment="1"/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64" fontId="2" fillId="0" borderId="6" xfId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left"/>
    </xf>
    <xf numFmtId="164" fontId="2" fillId="0" borderId="16" xfId="0" applyNumberFormat="1" applyFont="1" applyBorder="1" applyAlignment="1">
      <alignment horizontal="left"/>
    </xf>
    <xf numFmtId="164" fontId="4" fillId="0" borderId="24" xfId="0" applyNumberFormat="1" applyFont="1" applyBorder="1" applyAlignment="1">
      <alignment horizontal="left"/>
    </xf>
    <xf numFmtId="164" fontId="4" fillId="0" borderId="25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</cellXfs>
  <cellStyles count="3">
    <cellStyle name="Moneda" xfId="1" builtinId="4"/>
    <cellStyle name="Moneda 5" xfId="2"/>
    <cellStyle name="Normal" xfId="0" builtinId="0"/>
  </cellStyles>
  <dxfs count="0"/>
  <tableStyles count="0" defaultTableStyle="TableStyleMedium2" defaultPivotStyle="PivotStyleLight16"/>
  <colors>
    <mruColors>
      <color rgb="FFFF3399"/>
      <color rgb="FFFFCC99"/>
      <color rgb="FF33CCCC"/>
      <color rgb="FFFFFF66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V75"/>
  <sheetViews>
    <sheetView topLeftCell="A34" zoomScaleNormal="100" workbookViewId="0">
      <selection activeCell="B13" sqref="B1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58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254"/>
      <c r="M4" s="254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254" t="s">
        <v>2</v>
      </c>
      <c r="M5" s="254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29</v>
      </c>
      <c r="K8" s="246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2200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252"/>
      <c r="B11" s="268">
        <f>$M$9</f>
        <v>2200</v>
      </c>
      <c r="C11" s="268"/>
      <c r="D11" s="269" t="s">
        <v>177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255" t="s">
        <v>179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12"/>
    </row>
    <row r="14" spans="1:20">
      <c r="A14" s="5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1"/>
    </row>
    <row r="17" spans="1:22">
      <c r="A17" s="5"/>
      <c r="B17" s="6" t="s">
        <v>11</v>
      </c>
      <c r="C17" s="6"/>
      <c r="D17" s="6"/>
      <c r="E17" s="14">
        <v>29</v>
      </c>
      <c r="F17" s="246" t="s">
        <v>5</v>
      </c>
      <c r="G17" s="265" t="s">
        <v>68</v>
      </c>
      <c r="H17" s="265"/>
      <c r="I17" s="246" t="s">
        <v>12</v>
      </c>
      <c r="J17" s="14">
        <v>1</v>
      </c>
      <c r="K17" s="246" t="s">
        <v>13</v>
      </c>
      <c r="L17" s="265" t="s">
        <v>162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246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1</v>
      </c>
      <c r="E25" s="246" t="s">
        <v>28</v>
      </c>
      <c r="F25" s="286">
        <v>1400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246" t="s">
        <v>28</v>
      </c>
      <c r="F26" s="286">
        <v>800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2200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74</v>
      </c>
      <c r="D28" s="265"/>
      <c r="E28" s="265"/>
      <c r="F28" s="246" t="s">
        <v>28</v>
      </c>
      <c r="G28" s="265" t="s">
        <v>60</v>
      </c>
      <c r="H28" s="265"/>
      <c r="I28" s="265"/>
      <c r="J28" s="18"/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60</v>
      </c>
      <c r="D29" s="265"/>
      <c r="E29" s="265"/>
      <c r="F29" s="246" t="s">
        <v>28</v>
      </c>
      <c r="G29" s="265" t="s">
        <v>74</v>
      </c>
      <c r="H29" s="265"/>
      <c r="I29" s="265"/>
      <c r="J29" s="18"/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/>
      <c r="D30" s="265"/>
      <c r="E30" s="265"/>
      <c r="F30" s="246" t="s">
        <v>28</v>
      </c>
      <c r="G30" s="265"/>
      <c r="H30" s="265"/>
      <c r="I30" s="265"/>
      <c r="J30" s="20"/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/>
      <c r="D31" s="265"/>
      <c r="E31" s="265"/>
      <c r="F31" s="246" t="s">
        <v>28</v>
      </c>
      <c r="G31" s="265"/>
      <c r="H31" s="265"/>
      <c r="I31" s="265"/>
      <c r="J31" s="20"/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246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246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80"/>
      <c r="D34" s="280"/>
      <c r="E34" s="280"/>
      <c r="F34" s="246" t="s">
        <v>28</v>
      </c>
      <c r="G34" s="265"/>
      <c r="H34" s="265"/>
      <c r="I34" s="265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246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246"/>
      <c r="G36" s="256"/>
      <c r="H36" s="256"/>
      <c r="I36" s="256"/>
      <c r="J36" s="22">
        <f>J28+J29+J30+J31+J32+J33+J34+J35</f>
        <v>0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1.3</v>
      </c>
      <c r="K37" s="6"/>
      <c r="L37" s="253"/>
      <c r="M37" s="290">
        <f>M26</f>
        <v>2200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246"/>
      <c r="I38" s="246"/>
      <c r="J38" s="25"/>
      <c r="K38" s="6"/>
      <c r="L38" s="248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248" t="s">
        <v>32</v>
      </c>
      <c r="M40" s="286">
        <f>J36*J37</f>
        <v>0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248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248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253"/>
      <c r="F43" s="297">
        <v>0</v>
      </c>
      <c r="G43" s="298"/>
      <c r="H43" s="248"/>
      <c r="I43" s="248"/>
      <c r="J43" s="248"/>
      <c r="K43" s="6" t="s">
        <v>43</v>
      </c>
      <c r="L43" s="253"/>
      <c r="M43" s="266">
        <f>SUM(M37+M39+M40)+M41+M42</f>
        <v>2200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253"/>
      <c r="F44" s="299">
        <v>0</v>
      </c>
      <c r="G44" s="300"/>
      <c r="H44" s="248"/>
      <c r="I44" s="248"/>
      <c r="J44" s="248"/>
      <c r="K44" s="6" t="s">
        <v>45</v>
      </c>
      <c r="L44" s="253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253"/>
      <c r="F45" s="301">
        <f>F43+F44</f>
        <v>0</v>
      </c>
      <c r="G45" s="302"/>
      <c r="H45" s="248"/>
      <c r="I45" s="248"/>
      <c r="J45" s="248"/>
      <c r="K45" s="6"/>
      <c r="L45" s="253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253"/>
      <c r="F46" s="299">
        <v>0</v>
      </c>
      <c r="G46" s="300"/>
      <c r="H46" s="248"/>
      <c r="I46" s="248"/>
      <c r="J46" s="248"/>
      <c r="K46" s="6"/>
      <c r="L46" s="253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253"/>
      <c r="F47" s="301">
        <f>F45+F46</f>
        <v>0</v>
      </c>
      <c r="G47" s="302"/>
      <c r="H47" s="248"/>
      <c r="I47" s="248"/>
      <c r="J47" s="248"/>
      <c r="K47" s="6"/>
      <c r="L47" s="253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253"/>
      <c r="F48" s="297">
        <v>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253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253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253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253"/>
      <c r="F52" s="299">
        <f>SUM(F47:G51)</f>
        <v>0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253"/>
      <c r="F53" s="303">
        <v>0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0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246"/>
      <c r="C56" s="246"/>
      <c r="D56" s="246"/>
      <c r="E56" s="246"/>
      <c r="F56" s="246"/>
      <c r="G56" s="246"/>
      <c r="H56" s="6"/>
      <c r="I56" s="246"/>
      <c r="J56" s="246"/>
      <c r="K56" s="246"/>
      <c r="L56" s="246"/>
      <c r="M56" s="246"/>
      <c r="N56" s="247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117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118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/>
      <c r="M63" s="52"/>
      <c r="N63" s="53"/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V75"/>
  <sheetViews>
    <sheetView topLeftCell="A4" zoomScaleNormal="100" workbookViewId="0">
      <selection activeCell="I8" sqref="I8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43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205"/>
      <c r="M4" s="205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205" t="s">
        <v>2</v>
      </c>
      <c r="M5" s="205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18</v>
      </c>
      <c r="K8" s="200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3330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203"/>
      <c r="B11" s="268">
        <f>$M$9</f>
        <v>3330</v>
      </c>
      <c r="C11" s="268"/>
      <c r="D11" s="269" t="s">
        <v>159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206" t="s">
        <v>156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12"/>
    </row>
    <row r="14" spans="1:20">
      <c r="A14" s="5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8"/>
    </row>
    <row r="17" spans="1:22">
      <c r="A17" s="5"/>
      <c r="B17" s="6" t="s">
        <v>11</v>
      </c>
      <c r="C17" s="6"/>
      <c r="D17" s="6"/>
      <c r="E17" s="14">
        <v>25</v>
      </c>
      <c r="F17" s="200" t="s">
        <v>5</v>
      </c>
      <c r="G17" s="265" t="s">
        <v>68</v>
      </c>
      <c r="H17" s="265"/>
      <c r="I17" s="200" t="s">
        <v>12</v>
      </c>
      <c r="J17" s="14">
        <v>27</v>
      </c>
      <c r="K17" s="200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/>
      <c r="I19" s="258" t="s">
        <v>17</v>
      </c>
      <c r="J19" s="260"/>
      <c r="K19" s="16" t="s">
        <v>16</v>
      </c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200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2</v>
      </c>
      <c r="E25" s="200" t="s">
        <v>28</v>
      </c>
      <c r="F25" s="286">
        <v>1332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200" t="s">
        <v>28</v>
      </c>
      <c r="F26" s="286">
        <v>666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3330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59</v>
      </c>
      <c r="D28" s="265"/>
      <c r="E28" s="265"/>
      <c r="F28" s="200" t="s">
        <v>28</v>
      </c>
      <c r="G28" s="265" t="s">
        <v>157</v>
      </c>
      <c r="H28" s="265"/>
      <c r="I28" s="265"/>
      <c r="J28" s="18"/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157</v>
      </c>
      <c r="D29" s="265"/>
      <c r="E29" s="265"/>
      <c r="F29" s="200" t="s">
        <v>28</v>
      </c>
      <c r="G29" s="265" t="s">
        <v>157</v>
      </c>
      <c r="H29" s="265"/>
      <c r="I29" s="265"/>
      <c r="J29" s="18"/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 t="s">
        <v>157</v>
      </c>
      <c r="D30" s="265"/>
      <c r="E30" s="265"/>
      <c r="F30" s="200" t="s">
        <v>28</v>
      </c>
      <c r="G30" s="265" t="s">
        <v>59</v>
      </c>
      <c r="H30" s="265"/>
      <c r="I30" s="265"/>
      <c r="J30" s="20"/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/>
      <c r="D31" s="265"/>
      <c r="E31" s="265"/>
      <c r="F31" s="200" t="s">
        <v>28</v>
      </c>
      <c r="G31" s="265"/>
      <c r="H31" s="265"/>
      <c r="I31" s="265"/>
      <c r="J31" s="20"/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200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200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80"/>
      <c r="D34" s="280"/>
      <c r="E34" s="280"/>
      <c r="F34" s="200" t="s">
        <v>28</v>
      </c>
      <c r="G34" s="265"/>
      <c r="H34" s="265"/>
      <c r="I34" s="265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200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200"/>
      <c r="G36" s="256"/>
      <c r="H36" s="256"/>
      <c r="I36" s="256"/>
      <c r="J36" s="22">
        <f>J28+J29+J30+J31+J32+J33+J34+J35</f>
        <v>0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204"/>
      <c r="M37" s="290">
        <f>M26</f>
        <v>3330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200"/>
      <c r="I38" s="200"/>
      <c r="J38" s="25"/>
      <c r="K38" s="6"/>
      <c r="L38" s="202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202" t="s">
        <v>32</v>
      </c>
      <c r="M40" s="286">
        <f>J36*J37</f>
        <v>0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202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202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204"/>
      <c r="F43" s="297">
        <v>0</v>
      </c>
      <c r="G43" s="298"/>
      <c r="H43" s="202"/>
      <c r="I43" s="202"/>
      <c r="J43" s="202"/>
      <c r="K43" s="6" t="s">
        <v>43</v>
      </c>
      <c r="L43" s="204"/>
      <c r="M43" s="266">
        <f>SUM(M37+M39+M40)+M41+M42</f>
        <v>3330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204"/>
      <c r="F44" s="299">
        <v>0</v>
      </c>
      <c r="G44" s="300"/>
      <c r="H44" s="202"/>
      <c r="I44" s="202"/>
      <c r="J44" s="202"/>
      <c r="K44" s="6" t="s">
        <v>45</v>
      </c>
      <c r="L44" s="204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204"/>
      <c r="F45" s="301">
        <f>F43+F44</f>
        <v>0</v>
      </c>
      <c r="G45" s="302"/>
      <c r="H45" s="202"/>
      <c r="I45" s="202"/>
      <c r="J45" s="202"/>
      <c r="K45" s="6"/>
      <c r="L45" s="204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204"/>
      <c r="F46" s="299">
        <v>0</v>
      </c>
      <c r="G46" s="300"/>
      <c r="H46" s="202"/>
      <c r="I46" s="202"/>
      <c r="J46" s="202"/>
      <c r="K46" s="6"/>
      <c r="L46" s="204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204"/>
      <c r="F47" s="301">
        <f>F45+F46</f>
        <v>0</v>
      </c>
      <c r="G47" s="302"/>
      <c r="H47" s="202"/>
      <c r="I47" s="202"/>
      <c r="J47" s="202"/>
      <c r="K47" s="6"/>
      <c r="L47" s="204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204"/>
      <c r="F48" s="297">
        <v>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204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204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204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204"/>
      <c r="F52" s="299">
        <f>SUM(F47:G51)</f>
        <v>0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204"/>
      <c r="F53" s="303">
        <v>0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0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200"/>
      <c r="C56" s="200"/>
      <c r="D56" s="200"/>
      <c r="E56" s="200"/>
      <c r="F56" s="200"/>
      <c r="G56" s="200"/>
      <c r="H56" s="6"/>
      <c r="I56" s="200"/>
      <c r="J56" s="200"/>
      <c r="K56" s="200"/>
      <c r="L56" s="200"/>
      <c r="M56" s="200"/>
      <c r="N56" s="201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93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94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 t="s">
        <v>154</v>
      </c>
      <c r="M63" s="52"/>
      <c r="N63" s="53"/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V75"/>
  <sheetViews>
    <sheetView topLeftCell="A4" zoomScaleNormal="100" workbookViewId="0">
      <selection activeCell="G28" sqref="G28:I30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42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205"/>
      <c r="M4" s="205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205" t="s">
        <v>2</v>
      </c>
      <c r="M5" s="205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18</v>
      </c>
      <c r="K8" s="200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4162.5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203"/>
      <c r="B11" s="268">
        <f>$M$9</f>
        <v>4162.5</v>
      </c>
      <c r="C11" s="268"/>
      <c r="D11" s="269" t="s">
        <v>158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206" t="s">
        <v>156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12"/>
    </row>
    <row r="14" spans="1:20">
      <c r="A14" s="5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8"/>
    </row>
    <row r="17" spans="1:22">
      <c r="A17" s="5"/>
      <c r="B17" s="6" t="s">
        <v>11</v>
      </c>
      <c r="C17" s="6"/>
      <c r="D17" s="6"/>
      <c r="E17" s="14">
        <v>25</v>
      </c>
      <c r="F17" s="200" t="s">
        <v>5</v>
      </c>
      <c r="G17" s="265" t="s">
        <v>68</v>
      </c>
      <c r="H17" s="265"/>
      <c r="I17" s="200" t="s">
        <v>12</v>
      </c>
      <c r="J17" s="14">
        <v>27</v>
      </c>
      <c r="K17" s="200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/>
      <c r="I19" s="258" t="s">
        <v>17</v>
      </c>
      <c r="J19" s="260"/>
      <c r="K19" s="16" t="s">
        <v>16</v>
      </c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200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2</v>
      </c>
      <c r="E25" s="200" t="s">
        <v>28</v>
      </c>
      <c r="F25" s="286">
        <v>1665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200" t="s">
        <v>28</v>
      </c>
      <c r="F26" s="286">
        <v>832.5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4162.5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59</v>
      </c>
      <c r="D28" s="265"/>
      <c r="E28" s="265"/>
      <c r="F28" s="200" t="s">
        <v>28</v>
      </c>
      <c r="G28" s="265" t="s">
        <v>157</v>
      </c>
      <c r="H28" s="265"/>
      <c r="I28" s="265"/>
      <c r="J28" s="18"/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157</v>
      </c>
      <c r="D29" s="265"/>
      <c r="E29" s="265"/>
      <c r="F29" s="200" t="s">
        <v>28</v>
      </c>
      <c r="G29" s="265" t="s">
        <v>157</v>
      </c>
      <c r="H29" s="265"/>
      <c r="I29" s="265"/>
      <c r="J29" s="18"/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 t="s">
        <v>157</v>
      </c>
      <c r="D30" s="265"/>
      <c r="E30" s="265"/>
      <c r="F30" s="200" t="s">
        <v>28</v>
      </c>
      <c r="G30" s="265" t="s">
        <v>59</v>
      </c>
      <c r="H30" s="265"/>
      <c r="I30" s="265"/>
      <c r="J30" s="20"/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/>
      <c r="D31" s="265"/>
      <c r="E31" s="265"/>
      <c r="F31" s="200" t="s">
        <v>28</v>
      </c>
      <c r="G31" s="265"/>
      <c r="H31" s="265"/>
      <c r="I31" s="265"/>
      <c r="J31" s="20"/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200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200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80"/>
      <c r="D34" s="280"/>
      <c r="E34" s="280"/>
      <c r="F34" s="200" t="s">
        <v>28</v>
      </c>
      <c r="G34" s="265"/>
      <c r="H34" s="265"/>
      <c r="I34" s="265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200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200"/>
      <c r="G36" s="256"/>
      <c r="H36" s="256"/>
      <c r="I36" s="256"/>
      <c r="J36" s="22">
        <f>J28+J29+J30+J31+J32+J33+J34+J35</f>
        <v>0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204"/>
      <c r="M37" s="290">
        <f>M26</f>
        <v>4162.5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200"/>
      <c r="I38" s="200"/>
      <c r="J38" s="25"/>
      <c r="K38" s="6"/>
      <c r="L38" s="202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202" t="s">
        <v>32</v>
      </c>
      <c r="M40" s="286">
        <f>J36*J37</f>
        <v>0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202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202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204"/>
      <c r="F43" s="297">
        <v>0</v>
      </c>
      <c r="G43" s="298"/>
      <c r="H43" s="202"/>
      <c r="I43" s="202"/>
      <c r="J43" s="202"/>
      <c r="K43" s="6" t="s">
        <v>43</v>
      </c>
      <c r="L43" s="204"/>
      <c r="M43" s="266">
        <f>SUM(M37+M39+M40)+M41+M42</f>
        <v>4162.5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204"/>
      <c r="F44" s="299">
        <v>0</v>
      </c>
      <c r="G44" s="300"/>
      <c r="H44" s="202"/>
      <c r="I44" s="202"/>
      <c r="J44" s="202"/>
      <c r="K44" s="6" t="s">
        <v>45</v>
      </c>
      <c r="L44" s="204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204"/>
      <c r="F45" s="301">
        <f>F43+F44</f>
        <v>0</v>
      </c>
      <c r="G45" s="302"/>
      <c r="H45" s="202"/>
      <c r="I45" s="202"/>
      <c r="J45" s="202"/>
      <c r="K45" s="6"/>
      <c r="L45" s="204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204"/>
      <c r="F46" s="299">
        <v>0</v>
      </c>
      <c r="G46" s="300"/>
      <c r="H46" s="202"/>
      <c r="I46" s="202"/>
      <c r="J46" s="202"/>
      <c r="K46" s="6"/>
      <c r="L46" s="204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204"/>
      <c r="F47" s="301">
        <f>F45+F46</f>
        <v>0</v>
      </c>
      <c r="G47" s="302"/>
      <c r="H47" s="202"/>
      <c r="I47" s="202"/>
      <c r="J47" s="202"/>
      <c r="K47" s="6"/>
      <c r="L47" s="204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204"/>
      <c r="F48" s="297">
        <v>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204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204" t="s">
        <v>50</v>
      </c>
      <c r="F50" s="299">
        <v>0</v>
      </c>
      <c r="G50" s="300"/>
      <c r="H50" s="6"/>
      <c r="I50" s="199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204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204"/>
      <c r="F52" s="299">
        <f>SUM(F47:G51)</f>
        <v>0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204"/>
      <c r="F53" s="303">
        <v>0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0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200"/>
      <c r="C56" s="200"/>
      <c r="D56" s="200"/>
      <c r="E56" s="200"/>
      <c r="F56" s="200"/>
      <c r="G56" s="200"/>
      <c r="H56" s="6"/>
      <c r="I56" s="200"/>
      <c r="J56" s="200"/>
      <c r="K56" s="200"/>
      <c r="L56" s="200"/>
      <c r="M56" s="200"/>
      <c r="N56" s="201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96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97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/>
      <c r="M63" s="52"/>
      <c r="N63" s="53"/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V75"/>
  <sheetViews>
    <sheetView topLeftCell="A10" zoomScaleNormal="100" workbookViewId="0">
      <selection activeCell="G7" sqref="G7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40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94"/>
      <c r="M4" s="194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194" t="s">
        <v>2</v>
      </c>
      <c r="M5" s="194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15</v>
      </c>
      <c r="K8" s="190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6660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192"/>
      <c r="B11" s="268">
        <f>$M$9</f>
        <v>6660</v>
      </c>
      <c r="C11" s="268"/>
      <c r="D11" s="269" t="s">
        <v>152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195" t="s">
        <v>150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2"/>
    </row>
    <row r="14" spans="1:20">
      <c r="A14" s="5"/>
      <c r="B14" s="271" t="s">
        <v>153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7"/>
    </row>
    <row r="17" spans="1:22">
      <c r="A17" s="5"/>
      <c r="B17" s="6" t="s">
        <v>11</v>
      </c>
      <c r="C17" s="6"/>
      <c r="D17" s="6"/>
      <c r="E17" s="14">
        <v>24</v>
      </c>
      <c r="F17" s="190" t="s">
        <v>5</v>
      </c>
      <c r="G17" s="265" t="s">
        <v>68</v>
      </c>
      <c r="H17" s="265"/>
      <c r="I17" s="190" t="s">
        <v>12</v>
      </c>
      <c r="J17" s="14">
        <v>26</v>
      </c>
      <c r="K17" s="190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/>
      <c r="I19" s="258" t="s">
        <v>17</v>
      </c>
      <c r="J19" s="260"/>
      <c r="K19" s="16" t="s">
        <v>16</v>
      </c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190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2</v>
      </c>
      <c r="E25" s="190" t="s">
        <v>28</v>
      </c>
      <c r="F25" s="286">
        <v>2664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190" t="s">
        <v>28</v>
      </c>
      <c r="F26" s="286">
        <v>1332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6660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74</v>
      </c>
      <c r="D28" s="265"/>
      <c r="E28" s="265"/>
      <c r="F28" s="190" t="s">
        <v>28</v>
      </c>
      <c r="G28" s="265" t="s">
        <v>151</v>
      </c>
      <c r="H28" s="265"/>
      <c r="I28" s="265"/>
      <c r="J28" s="18"/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151</v>
      </c>
      <c r="D29" s="265"/>
      <c r="E29" s="265"/>
      <c r="F29" s="190" t="s">
        <v>28</v>
      </c>
      <c r="G29" s="265" t="s">
        <v>74</v>
      </c>
      <c r="H29" s="265"/>
      <c r="I29" s="265"/>
      <c r="J29" s="18"/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/>
      <c r="D30" s="265"/>
      <c r="E30" s="265"/>
      <c r="F30" s="190" t="s">
        <v>28</v>
      </c>
      <c r="G30" s="265"/>
      <c r="H30" s="265"/>
      <c r="I30" s="265"/>
      <c r="J30" s="20"/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/>
      <c r="D31" s="265"/>
      <c r="E31" s="265"/>
      <c r="F31" s="190" t="s">
        <v>28</v>
      </c>
      <c r="G31" s="265"/>
      <c r="H31" s="265"/>
      <c r="I31" s="265"/>
      <c r="J31" s="20"/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190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190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65"/>
      <c r="D34" s="265"/>
      <c r="E34" s="265"/>
      <c r="F34" s="190" t="s">
        <v>28</v>
      </c>
      <c r="G34" s="280"/>
      <c r="H34" s="280"/>
      <c r="I34" s="280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190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190" t="s">
        <v>28</v>
      </c>
      <c r="G36" s="256"/>
      <c r="H36" s="256"/>
      <c r="I36" s="256"/>
      <c r="J36" s="22">
        <f>J28+J29+J30+J31+J32+J33+J35</f>
        <v>0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193"/>
      <c r="M37" s="290">
        <f>M26</f>
        <v>6660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190"/>
      <c r="I38" s="190"/>
      <c r="J38" s="25"/>
      <c r="K38" s="6"/>
      <c r="L38" s="198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198" t="s">
        <v>32</v>
      </c>
      <c r="M40" s="286">
        <f>J36*J37</f>
        <v>0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198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198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193"/>
      <c r="F43" s="297">
        <v>0</v>
      </c>
      <c r="G43" s="298"/>
      <c r="H43" s="198"/>
      <c r="I43" s="198"/>
      <c r="J43" s="198"/>
      <c r="K43" s="6" t="s">
        <v>43</v>
      </c>
      <c r="L43" s="193"/>
      <c r="M43" s="266">
        <f>SUM(M37+M39+M40)+M41+M42</f>
        <v>6660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193"/>
      <c r="F44" s="299">
        <v>0</v>
      </c>
      <c r="G44" s="300"/>
      <c r="H44" s="198"/>
      <c r="I44" s="198"/>
      <c r="J44" s="198"/>
      <c r="K44" s="6" t="s">
        <v>45</v>
      </c>
      <c r="L44" s="193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193"/>
      <c r="F45" s="301">
        <f>F43+F44</f>
        <v>0</v>
      </c>
      <c r="G45" s="302"/>
      <c r="H45" s="198"/>
      <c r="I45" s="198"/>
      <c r="J45" s="198"/>
      <c r="K45" s="6"/>
      <c r="L45" s="193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193"/>
      <c r="F46" s="299">
        <v>0</v>
      </c>
      <c r="G46" s="300"/>
      <c r="H46" s="198"/>
      <c r="I46" s="198"/>
      <c r="J46" s="198"/>
      <c r="K46" s="6"/>
      <c r="L46" s="193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193"/>
      <c r="F47" s="301">
        <f>F45+F46</f>
        <v>0</v>
      </c>
      <c r="G47" s="302"/>
      <c r="H47" s="198"/>
      <c r="I47" s="198"/>
      <c r="J47" s="198"/>
      <c r="K47" s="6"/>
      <c r="L47" s="193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193"/>
      <c r="F48" s="297">
        <v>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193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193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193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193"/>
      <c r="F52" s="299">
        <f>SUM(F47:G51)</f>
        <v>0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193"/>
      <c r="F53" s="303">
        <v>0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0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190"/>
      <c r="C56" s="190"/>
      <c r="D56" s="190"/>
      <c r="E56" s="190"/>
      <c r="F56" s="190"/>
      <c r="G56" s="190"/>
      <c r="H56" s="6"/>
      <c r="I56" s="190"/>
      <c r="J56" s="190"/>
      <c r="K56" s="190"/>
      <c r="L56" s="190"/>
      <c r="M56" s="190"/>
      <c r="N56" s="191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90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91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/>
      <c r="M63" s="52"/>
      <c r="N63" s="53"/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V75"/>
  <sheetViews>
    <sheetView topLeftCell="A38" zoomScaleNormal="100" workbookViewId="0">
      <selection activeCell="F53" sqref="F53:G5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36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89"/>
      <c r="M4" s="189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189" t="s">
        <v>2</v>
      </c>
      <c r="M5" s="189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15</v>
      </c>
      <c r="K8" s="181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1546.5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187"/>
      <c r="B11" s="268">
        <f>$M$9</f>
        <v>1546.5</v>
      </c>
      <c r="C11" s="268"/>
      <c r="D11" s="269" t="s">
        <v>149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184" t="s">
        <v>145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2"/>
    </row>
    <row r="14" spans="1:20">
      <c r="A14" s="5"/>
      <c r="B14" s="271" t="s">
        <v>146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6"/>
    </row>
    <row r="17" spans="1:22">
      <c r="A17" s="5"/>
      <c r="B17" s="6" t="s">
        <v>11</v>
      </c>
      <c r="C17" s="6"/>
      <c r="D17" s="6"/>
      <c r="E17" s="14">
        <v>16</v>
      </c>
      <c r="F17" s="181" t="s">
        <v>5</v>
      </c>
      <c r="G17" s="265" t="s">
        <v>68</v>
      </c>
      <c r="H17" s="265"/>
      <c r="I17" s="181" t="s">
        <v>12</v>
      </c>
      <c r="J17" s="14">
        <v>16</v>
      </c>
      <c r="K17" s="181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>
        <f>+D250</f>
        <v>0</v>
      </c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181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/>
      <c r="E25" s="181" t="s">
        <v>28</v>
      </c>
      <c r="F25" s="286">
        <v>2220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181" t="s">
        <v>28</v>
      </c>
      <c r="F26" s="286">
        <v>1110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1110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74</v>
      </c>
      <c r="D28" s="265"/>
      <c r="E28" s="265"/>
      <c r="F28" s="181" t="s">
        <v>28</v>
      </c>
      <c r="G28" s="265" t="s">
        <v>60</v>
      </c>
      <c r="H28" s="265"/>
      <c r="I28" s="265"/>
      <c r="J28" s="18">
        <v>195</v>
      </c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60</v>
      </c>
      <c r="D29" s="265"/>
      <c r="E29" s="265"/>
      <c r="F29" s="181" t="s">
        <v>28</v>
      </c>
      <c r="G29" s="265" t="s">
        <v>69</v>
      </c>
      <c r="H29" s="265"/>
      <c r="I29" s="265"/>
      <c r="J29" s="18">
        <v>30</v>
      </c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 t="s">
        <v>69</v>
      </c>
      <c r="D30" s="265"/>
      <c r="E30" s="265"/>
      <c r="F30" s="181" t="s">
        <v>28</v>
      </c>
      <c r="G30" s="265" t="s">
        <v>60</v>
      </c>
      <c r="H30" s="265"/>
      <c r="I30" s="265"/>
      <c r="J30" s="20">
        <v>30</v>
      </c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 t="s">
        <v>60</v>
      </c>
      <c r="D31" s="265"/>
      <c r="E31" s="265"/>
      <c r="F31" s="181" t="s">
        <v>28</v>
      </c>
      <c r="G31" s="265" t="s">
        <v>74</v>
      </c>
      <c r="H31" s="265"/>
      <c r="I31" s="265"/>
      <c r="J31" s="20">
        <v>195</v>
      </c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181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181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65"/>
      <c r="D34" s="265"/>
      <c r="E34" s="265"/>
      <c r="F34" s="181" t="s">
        <v>28</v>
      </c>
      <c r="G34" s="280"/>
      <c r="H34" s="280"/>
      <c r="I34" s="280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181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181" t="s">
        <v>28</v>
      </c>
      <c r="G36" s="256"/>
      <c r="H36" s="256"/>
      <c r="I36" s="256"/>
      <c r="J36" s="22">
        <f>J28+J29+J30+J31+J32+J33+J35</f>
        <v>450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188"/>
      <c r="M37" s="290">
        <f>M26</f>
        <v>1110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181"/>
      <c r="I38" s="181"/>
      <c r="J38" s="25"/>
      <c r="K38" s="6"/>
      <c r="L38" s="183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183" t="s">
        <v>32</v>
      </c>
      <c r="M40" s="286">
        <f>J36*J37</f>
        <v>436.5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183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183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188"/>
      <c r="F43" s="297">
        <v>0</v>
      </c>
      <c r="G43" s="298"/>
      <c r="H43" s="183"/>
      <c r="I43" s="183"/>
      <c r="J43" s="183"/>
      <c r="K43" s="6" t="s">
        <v>43</v>
      </c>
      <c r="L43" s="188"/>
      <c r="M43" s="266">
        <f>SUM(M37+M39+M40)+M41+M42</f>
        <v>1546.5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188"/>
      <c r="F44" s="299">
        <f>118+319</f>
        <v>437</v>
      </c>
      <c r="G44" s="300"/>
      <c r="H44" s="183"/>
      <c r="I44" s="183"/>
      <c r="J44" s="183"/>
      <c r="K44" s="6" t="s">
        <v>45</v>
      </c>
      <c r="L44" s="188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188"/>
      <c r="F45" s="301">
        <f>F43+F44</f>
        <v>437</v>
      </c>
      <c r="G45" s="302"/>
      <c r="H45" s="183"/>
      <c r="I45" s="183"/>
      <c r="J45" s="183"/>
      <c r="K45" s="6"/>
      <c r="L45" s="188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188"/>
      <c r="F46" s="299">
        <v>0</v>
      </c>
      <c r="G46" s="300"/>
      <c r="H46" s="183"/>
      <c r="I46" s="183"/>
      <c r="J46" s="183"/>
      <c r="K46" s="6"/>
      <c r="L46" s="188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188"/>
      <c r="F47" s="301">
        <f>F45+F46</f>
        <v>437</v>
      </c>
      <c r="G47" s="302"/>
      <c r="H47" s="183"/>
      <c r="I47" s="183"/>
      <c r="J47" s="183"/>
      <c r="K47" s="6"/>
      <c r="L47" s="188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188"/>
      <c r="F48" s="297">
        <f>500.07+250.2</f>
        <v>750.27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188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188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188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188"/>
      <c r="F52" s="299">
        <f>SUM(F47:G51)</f>
        <v>1187.27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188"/>
      <c r="F53" s="303">
        <f>+M43-F52</f>
        <v>359.23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1546.5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181"/>
      <c r="C56" s="181"/>
      <c r="D56" s="181"/>
      <c r="E56" s="181"/>
      <c r="F56" s="181"/>
      <c r="G56" s="181"/>
      <c r="H56" s="6"/>
      <c r="I56" s="181"/>
      <c r="J56" s="181"/>
      <c r="K56" s="181"/>
      <c r="L56" s="181"/>
      <c r="M56" s="181"/>
      <c r="N56" s="182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147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148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209" t="s">
        <v>160</v>
      </c>
      <c r="M63" s="52"/>
      <c r="N63" s="53">
        <v>42415</v>
      </c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M41:N41"/>
    <mergeCell ref="M42:N42"/>
    <mergeCell ref="F43:G43"/>
    <mergeCell ref="M43:N43"/>
    <mergeCell ref="M40:N4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V75"/>
  <sheetViews>
    <sheetView topLeftCell="A40" zoomScaleNormal="100" workbookViewId="0">
      <selection activeCell="F53" sqref="F53:G54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31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80"/>
      <c r="M4" s="180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180" t="s">
        <v>2</v>
      </c>
      <c r="M5" s="180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15</v>
      </c>
      <c r="K8" s="172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555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178"/>
      <c r="B11" s="268">
        <f>$M$9</f>
        <v>555</v>
      </c>
      <c r="C11" s="268"/>
      <c r="D11" s="269" t="s">
        <v>144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175" t="s">
        <v>98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2"/>
    </row>
    <row r="14" spans="1:20">
      <c r="A14" s="5"/>
      <c r="B14" s="271" t="s">
        <v>99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7"/>
    </row>
    <row r="17" spans="1:22">
      <c r="A17" s="5"/>
      <c r="B17" s="6" t="s">
        <v>11</v>
      </c>
      <c r="C17" s="6"/>
      <c r="D17" s="6"/>
      <c r="E17" s="14">
        <v>16</v>
      </c>
      <c r="F17" s="172" t="s">
        <v>5</v>
      </c>
      <c r="G17" s="265" t="s">
        <v>68</v>
      </c>
      <c r="H17" s="265"/>
      <c r="I17" s="172" t="s">
        <v>12</v>
      </c>
      <c r="J17" s="14">
        <v>16</v>
      </c>
      <c r="K17" s="172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172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0</v>
      </c>
      <c r="E25" s="172" t="s">
        <v>28</v>
      </c>
      <c r="F25" s="286">
        <v>1110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172" t="s">
        <v>28</v>
      </c>
      <c r="F26" s="286">
        <v>555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555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59</v>
      </c>
      <c r="D28" s="265"/>
      <c r="E28" s="265"/>
      <c r="F28" s="172" t="s">
        <v>28</v>
      </c>
      <c r="G28" s="265" t="s">
        <v>60</v>
      </c>
      <c r="H28" s="265"/>
      <c r="I28" s="265"/>
      <c r="J28" s="18"/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60</v>
      </c>
      <c r="D29" s="265"/>
      <c r="E29" s="265"/>
      <c r="F29" s="172" t="s">
        <v>28</v>
      </c>
      <c r="G29" s="265" t="s">
        <v>69</v>
      </c>
      <c r="H29" s="265"/>
      <c r="I29" s="265"/>
      <c r="J29" s="18"/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 t="s">
        <v>69</v>
      </c>
      <c r="D30" s="265"/>
      <c r="E30" s="265"/>
      <c r="F30" s="172" t="s">
        <v>28</v>
      </c>
      <c r="G30" s="265" t="s">
        <v>60</v>
      </c>
      <c r="H30" s="265"/>
      <c r="I30" s="265"/>
      <c r="J30" s="20"/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 t="s">
        <v>60</v>
      </c>
      <c r="D31" s="265"/>
      <c r="E31" s="265"/>
      <c r="F31" s="172" t="s">
        <v>28</v>
      </c>
      <c r="G31" s="265" t="s">
        <v>59</v>
      </c>
      <c r="H31" s="265"/>
      <c r="I31" s="265"/>
      <c r="J31" s="20"/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172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172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80"/>
      <c r="D34" s="280"/>
      <c r="E34" s="280"/>
      <c r="F34" s="172" t="s">
        <v>28</v>
      </c>
      <c r="G34" s="265"/>
      <c r="H34" s="265"/>
      <c r="I34" s="265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172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172"/>
      <c r="G36" s="256"/>
      <c r="H36" s="256"/>
      <c r="I36" s="256"/>
      <c r="J36" s="22">
        <f>J28+J29+J30+J31+J32+J33+J34+J35</f>
        <v>0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179"/>
      <c r="M37" s="290">
        <f>M26</f>
        <v>555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172"/>
      <c r="I38" s="172"/>
      <c r="J38" s="25"/>
      <c r="K38" s="6"/>
      <c r="L38" s="174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174" t="s">
        <v>32</v>
      </c>
      <c r="M40" s="286">
        <f>J36*J37</f>
        <v>0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174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174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179"/>
      <c r="F43" s="297">
        <v>0</v>
      </c>
      <c r="G43" s="298"/>
      <c r="H43" s="174"/>
      <c r="I43" s="174"/>
      <c r="J43" s="174"/>
      <c r="K43" s="6" t="s">
        <v>43</v>
      </c>
      <c r="L43" s="179"/>
      <c r="M43" s="266">
        <f>SUM(M37+M39+M40)+M41+M42</f>
        <v>555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179"/>
      <c r="F44" s="299">
        <f>125+399.01</f>
        <v>524.01</v>
      </c>
      <c r="G44" s="300"/>
      <c r="H44" s="174"/>
      <c r="I44" s="174"/>
      <c r="J44" s="174"/>
      <c r="K44" s="6" t="s">
        <v>45</v>
      </c>
      <c r="L44" s="179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179"/>
      <c r="F45" s="301">
        <f>F43+F44</f>
        <v>524.01</v>
      </c>
      <c r="G45" s="302"/>
      <c r="H45" s="174"/>
      <c r="I45" s="174"/>
      <c r="J45" s="174"/>
      <c r="K45" s="6"/>
      <c r="L45" s="179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179"/>
      <c r="F46" s="299">
        <v>0</v>
      </c>
      <c r="G46" s="300"/>
      <c r="H46" s="174"/>
      <c r="I46" s="174"/>
      <c r="J46" s="174"/>
      <c r="K46" s="6"/>
      <c r="L46" s="179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179"/>
      <c r="F47" s="301">
        <f>F45+F46</f>
        <v>524.01</v>
      </c>
      <c r="G47" s="302"/>
      <c r="H47" s="174"/>
      <c r="I47" s="174"/>
      <c r="J47" s="174"/>
      <c r="K47" s="6"/>
      <c r="L47" s="179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179"/>
      <c r="F48" s="297">
        <v>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179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179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179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179"/>
      <c r="F52" s="299">
        <f>SUM(F47:G51)</f>
        <v>524.01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179"/>
      <c r="F53" s="303">
        <f>+M43-F52</f>
        <v>30.990000000000009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555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172"/>
      <c r="C56" s="172"/>
      <c r="D56" s="172"/>
      <c r="E56" s="172"/>
      <c r="F56" s="172"/>
      <c r="G56" s="172"/>
      <c r="H56" s="6"/>
      <c r="I56" s="172"/>
      <c r="J56" s="172"/>
      <c r="K56" s="172"/>
      <c r="L56" s="172"/>
      <c r="M56" s="172"/>
      <c r="N56" s="173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93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94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 t="s">
        <v>154</v>
      </c>
      <c r="M63" s="52">
        <v>13625</v>
      </c>
      <c r="N63" s="53">
        <v>42415</v>
      </c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V75"/>
  <sheetViews>
    <sheetView topLeftCell="A13" zoomScaleNormal="100" workbookViewId="0">
      <selection activeCell="D12" sqref="D1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28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71"/>
      <c r="M4" s="171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171" t="s">
        <v>2</v>
      </c>
      <c r="M5" s="171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15</v>
      </c>
      <c r="K8" s="163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3294.4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169"/>
      <c r="B11" s="268">
        <f>$M$9</f>
        <v>3294.4</v>
      </c>
      <c r="C11" s="268"/>
      <c r="D11" s="269" t="s">
        <v>143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166" t="s">
        <v>125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2"/>
    </row>
    <row r="14" spans="1:20">
      <c r="A14" s="5"/>
      <c r="B14" s="271" t="s">
        <v>142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8"/>
    </row>
    <row r="17" spans="1:22">
      <c r="A17" s="5"/>
      <c r="B17" s="6" t="s">
        <v>11</v>
      </c>
      <c r="C17" s="6"/>
      <c r="D17" s="6"/>
      <c r="E17" s="14">
        <v>23</v>
      </c>
      <c r="F17" s="163" t="s">
        <v>5</v>
      </c>
      <c r="G17" s="265" t="s">
        <v>68</v>
      </c>
      <c r="H17" s="265"/>
      <c r="I17" s="163" t="s">
        <v>12</v>
      </c>
      <c r="J17" s="14">
        <v>26</v>
      </c>
      <c r="K17" s="163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163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/>
      <c r="E25" s="163" t="s">
        <v>28</v>
      </c>
      <c r="F25" s="286">
        <v>1110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4</v>
      </c>
      <c r="E26" s="163" t="s">
        <v>28</v>
      </c>
      <c r="F26" s="286">
        <v>555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2220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59</v>
      </c>
      <c r="D28" s="265"/>
      <c r="E28" s="265"/>
      <c r="F28" s="163" t="s">
        <v>28</v>
      </c>
      <c r="G28" s="265" t="s">
        <v>141</v>
      </c>
      <c r="H28" s="265"/>
      <c r="I28" s="265"/>
      <c r="J28" s="18">
        <v>85</v>
      </c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141</v>
      </c>
      <c r="D29" s="265"/>
      <c r="E29" s="265"/>
      <c r="F29" s="163" t="s">
        <v>28</v>
      </c>
      <c r="G29" s="265" t="s">
        <v>59</v>
      </c>
      <c r="H29" s="265"/>
      <c r="I29" s="265"/>
      <c r="J29" s="18">
        <v>85</v>
      </c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 t="s">
        <v>59</v>
      </c>
      <c r="D30" s="265"/>
      <c r="E30" s="265"/>
      <c r="F30" s="163" t="s">
        <v>28</v>
      </c>
      <c r="G30" s="265" t="s">
        <v>141</v>
      </c>
      <c r="H30" s="265"/>
      <c r="I30" s="265"/>
      <c r="J30" s="20">
        <v>85</v>
      </c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 t="s">
        <v>141</v>
      </c>
      <c r="D31" s="265"/>
      <c r="E31" s="265"/>
      <c r="F31" s="163" t="s">
        <v>28</v>
      </c>
      <c r="G31" s="265" t="s">
        <v>59</v>
      </c>
      <c r="H31" s="265"/>
      <c r="I31" s="265"/>
      <c r="J31" s="20">
        <v>85</v>
      </c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 t="s">
        <v>59</v>
      </c>
      <c r="D32" s="280"/>
      <c r="E32" s="280"/>
      <c r="F32" s="163" t="s">
        <v>28</v>
      </c>
      <c r="G32" s="280" t="s">
        <v>141</v>
      </c>
      <c r="H32" s="280"/>
      <c r="I32" s="280"/>
      <c r="J32" s="20">
        <v>85</v>
      </c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 t="s">
        <v>141</v>
      </c>
      <c r="D33" s="280"/>
      <c r="E33" s="280"/>
      <c r="F33" s="163" t="s">
        <v>28</v>
      </c>
      <c r="G33" s="265" t="s">
        <v>59</v>
      </c>
      <c r="H33" s="265"/>
      <c r="I33" s="265"/>
      <c r="J33" s="20">
        <v>85</v>
      </c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80" t="s">
        <v>59</v>
      </c>
      <c r="D34" s="280"/>
      <c r="E34" s="280"/>
      <c r="F34" s="163" t="s">
        <v>28</v>
      </c>
      <c r="G34" s="265" t="s">
        <v>141</v>
      </c>
      <c r="H34" s="265"/>
      <c r="I34" s="265"/>
      <c r="J34" s="20">
        <v>85</v>
      </c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 t="s">
        <v>141</v>
      </c>
      <c r="D35" s="280"/>
      <c r="E35" s="280"/>
      <c r="F35" s="163" t="s">
        <v>28</v>
      </c>
      <c r="G35" s="265" t="s">
        <v>59</v>
      </c>
      <c r="H35" s="265"/>
      <c r="I35" s="265"/>
      <c r="J35" s="21">
        <v>85</v>
      </c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163"/>
      <c r="G36" s="256"/>
      <c r="H36" s="256"/>
      <c r="I36" s="256"/>
      <c r="J36" s="22">
        <f>J28+J29+J30+J31+J32+J33+J34+J35</f>
        <v>680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1.58</v>
      </c>
      <c r="K37" s="6"/>
      <c r="L37" s="170"/>
      <c r="M37" s="290">
        <f>M26</f>
        <v>2220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163"/>
      <c r="I38" s="163"/>
      <c r="J38" s="25"/>
      <c r="K38" s="6"/>
      <c r="L38" s="165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165" t="s">
        <v>32</v>
      </c>
      <c r="M40" s="286">
        <f>J36*J37</f>
        <v>1074.4000000000001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165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165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170"/>
      <c r="F43" s="297">
        <v>0</v>
      </c>
      <c r="G43" s="298"/>
      <c r="H43" s="165"/>
      <c r="I43" s="165"/>
      <c r="J43" s="165"/>
      <c r="K43" s="6" t="s">
        <v>43</v>
      </c>
      <c r="L43" s="170"/>
      <c r="M43" s="266">
        <f>SUM(M37+M39+M40)+M41+M42</f>
        <v>3294.4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170"/>
      <c r="F44" s="299">
        <v>0</v>
      </c>
      <c r="G44" s="300"/>
      <c r="H44" s="165"/>
      <c r="I44" s="165"/>
      <c r="J44" s="165"/>
      <c r="K44" s="6" t="s">
        <v>45</v>
      </c>
      <c r="L44" s="170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170"/>
      <c r="F45" s="301">
        <f>F43+F44</f>
        <v>0</v>
      </c>
      <c r="G45" s="302"/>
      <c r="H45" s="165"/>
      <c r="I45" s="165"/>
      <c r="J45" s="165"/>
      <c r="K45" s="6"/>
      <c r="L45" s="170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170"/>
      <c r="F46" s="299">
        <v>0</v>
      </c>
      <c r="G46" s="300"/>
      <c r="H46" s="165"/>
      <c r="I46" s="165"/>
      <c r="J46" s="165"/>
      <c r="K46" s="6"/>
      <c r="L46" s="170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170"/>
      <c r="F47" s="301">
        <f>F45+F46</f>
        <v>0</v>
      </c>
      <c r="G47" s="302"/>
      <c r="H47" s="165"/>
      <c r="I47" s="165"/>
      <c r="J47" s="165"/>
      <c r="K47" s="6"/>
      <c r="L47" s="170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170"/>
      <c r="F48" s="297">
        <v>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170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170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170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170"/>
      <c r="F52" s="299">
        <f>SUM(F47:G51)</f>
        <v>0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170"/>
      <c r="F53" s="303">
        <v>0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0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163"/>
      <c r="C56" s="163"/>
      <c r="D56" s="163"/>
      <c r="E56" s="163"/>
      <c r="F56" s="163"/>
      <c r="G56" s="163"/>
      <c r="H56" s="6"/>
      <c r="I56" s="163"/>
      <c r="J56" s="163"/>
      <c r="K56" s="163"/>
      <c r="L56" s="163"/>
      <c r="M56" s="163"/>
      <c r="N56" s="164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127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128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/>
      <c r="M63" s="52"/>
      <c r="N63" s="53"/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V75"/>
  <sheetViews>
    <sheetView zoomScaleNormal="100" workbookViewId="0">
      <selection activeCell="B18" sqref="B18:N18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27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71"/>
      <c r="M4" s="171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171" t="s">
        <v>2</v>
      </c>
      <c r="M5" s="171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15</v>
      </c>
      <c r="K8" s="163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5747.72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169"/>
      <c r="B11" s="268">
        <f>$M$9</f>
        <v>5747.72</v>
      </c>
      <c r="C11" s="268"/>
      <c r="D11" s="269" t="s">
        <v>86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166" t="s">
        <v>64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2"/>
    </row>
    <row r="14" spans="1:20">
      <c r="A14" s="5"/>
      <c r="B14" s="271" t="s">
        <v>84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8"/>
    </row>
    <row r="17" spans="1:22">
      <c r="A17" s="5"/>
      <c r="B17" s="6" t="s">
        <v>11</v>
      </c>
      <c r="C17" s="6"/>
      <c r="D17" s="6"/>
      <c r="E17" s="14">
        <v>23</v>
      </c>
      <c r="F17" s="163" t="s">
        <v>5</v>
      </c>
      <c r="G17" s="265" t="s">
        <v>68</v>
      </c>
      <c r="H17" s="265"/>
      <c r="I17" s="163" t="s">
        <v>12</v>
      </c>
      <c r="J17" s="14">
        <v>27</v>
      </c>
      <c r="K17" s="163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163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4</v>
      </c>
      <c r="E25" s="163" t="s">
        <v>28</v>
      </c>
      <c r="F25" s="286">
        <v>1110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163" t="s">
        <v>28</v>
      </c>
      <c r="F26" s="286">
        <v>555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4995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59</v>
      </c>
      <c r="D28" s="265"/>
      <c r="E28" s="265"/>
      <c r="F28" s="163" t="s">
        <v>28</v>
      </c>
      <c r="G28" s="265" t="s">
        <v>60</v>
      </c>
      <c r="H28" s="265"/>
      <c r="I28" s="265"/>
      <c r="J28" s="18">
        <v>208</v>
      </c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83</v>
      </c>
      <c r="D29" s="265"/>
      <c r="E29" s="265"/>
      <c r="F29" s="163" t="s">
        <v>28</v>
      </c>
      <c r="G29" s="265" t="s">
        <v>83</v>
      </c>
      <c r="H29" s="265"/>
      <c r="I29" s="265"/>
      <c r="J29" s="18">
        <v>360</v>
      </c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 t="s">
        <v>60</v>
      </c>
      <c r="D30" s="265"/>
      <c r="E30" s="265"/>
      <c r="F30" s="163" t="s">
        <v>28</v>
      </c>
      <c r="G30" s="265" t="s">
        <v>59</v>
      </c>
      <c r="H30" s="265"/>
      <c r="I30" s="265"/>
      <c r="J30" s="20">
        <v>208</v>
      </c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/>
      <c r="D31" s="265"/>
      <c r="E31" s="265"/>
      <c r="F31" s="163" t="s">
        <v>28</v>
      </c>
      <c r="G31" s="265"/>
      <c r="H31" s="265"/>
      <c r="I31" s="265"/>
      <c r="J31" s="20"/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163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163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80"/>
      <c r="D34" s="280"/>
      <c r="E34" s="280"/>
      <c r="F34" s="163" t="s">
        <v>28</v>
      </c>
      <c r="G34" s="265"/>
      <c r="H34" s="265"/>
      <c r="I34" s="265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163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163"/>
      <c r="G36" s="256"/>
      <c r="H36" s="256"/>
      <c r="I36" s="256"/>
      <c r="J36" s="22">
        <f>J28+J29+J30+J31+J32+J33+J34+J35</f>
        <v>776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170"/>
      <c r="M37" s="290">
        <f>M26</f>
        <v>4995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163"/>
      <c r="I38" s="163"/>
      <c r="J38" s="25"/>
      <c r="K38" s="6"/>
      <c r="L38" s="165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165" t="s">
        <v>32</v>
      </c>
      <c r="M40" s="286">
        <f>J36*J37</f>
        <v>752.72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165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165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170"/>
      <c r="F43" s="297">
        <v>0</v>
      </c>
      <c r="G43" s="298"/>
      <c r="H43" s="165"/>
      <c r="I43" s="165"/>
      <c r="J43" s="165"/>
      <c r="K43" s="6" t="s">
        <v>43</v>
      </c>
      <c r="L43" s="170"/>
      <c r="M43" s="266">
        <f>SUM(M37+M39+M40)+M41+M42</f>
        <v>5747.72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170"/>
      <c r="F44" s="299">
        <v>0</v>
      </c>
      <c r="G44" s="300"/>
      <c r="H44" s="165"/>
      <c r="I44" s="165"/>
      <c r="J44" s="165"/>
      <c r="K44" s="6" t="s">
        <v>45</v>
      </c>
      <c r="L44" s="170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170"/>
      <c r="F45" s="301">
        <f>F43+F44</f>
        <v>0</v>
      </c>
      <c r="G45" s="302"/>
      <c r="H45" s="165"/>
      <c r="I45" s="165"/>
      <c r="J45" s="165"/>
      <c r="K45" s="6"/>
      <c r="L45" s="170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170"/>
      <c r="F46" s="299">
        <v>0</v>
      </c>
      <c r="G46" s="300"/>
      <c r="H46" s="165"/>
      <c r="I46" s="165"/>
      <c r="J46" s="165"/>
      <c r="K46" s="6"/>
      <c r="L46" s="170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170"/>
      <c r="F47" s="301">
        <f>F45+F46</f>
        <v>0</v>
      </c>
      <c r="G47" s="302"/>
      <c r="H47" s="165"/>
      <c r="I47" s="165"/>
      <c r="J47" s="165"/>
      <c r="K47" s="6"/>
      <c r="L47" s="170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170"/>
      <c r="F48" s="297">
        <v>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170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170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170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170"/>
      <c r="F52" s="299">
        <f>SUM(F47:G51)</f>
        <v>0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170"/>
      <c r="F53" s="303">
        <v>0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0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163"/>
      <c r="C56" s="163"/>
      <c r="D56" s="163"/>
      <c r="E56" s="163"/>
      <c r="F56" s="163"/>
      <c r="G56" s="163"/>
      <c r="H56" s="6"/>
      <c r="I56" s="163"/>
      <c r="J56" s="163"/>
      <c r="K56" s="163"/>
      <c r="L56" s="163"/>
      <c r="M56" s="163"/>
      <c r="N56" s="164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65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66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/>
      <c r="M63" s="52"/>
      <c r="N63" s="53"/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V75"/>
  <sheetViews>
    <sheetView topLeftCell="A37" zoomScaleNormal="100" workbookViewId="0">
      <selection activeCell="B18" sqref="B18:N18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26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71"/>
      <c r="M4" s="171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171" t="s">
        <v>2</v>
      </c>
      <c r="M5" s="171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15</v>
      </c>
      <c r="K8" s="163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4995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169"/>
      <c r="B11" s="268">
        <f>$M$9</f>
        <v>4995</v>
      </c>
      <c r="C11" s="268"/>
      <c r="D11" s="269" t="s">
        <v>85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166" t="s">
        <v>64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2"/>
    </row>
    <row r="14" spans="1:20">
      <c r="A14" s="5"/>
      <c r="B14" s="271" t="s">
        <v>84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8"/>
    </row>
    <row r="17" spans="1:22">
      <c r="A17" s="5"/>
      <c r="B17" s="6" t="s">
        <v>11</v>
      </c>
      <c r="C17" s="6"/>
      <c r="D17" s="6"/>
      <c r="E17" s="14">
        <v>23</v>
      </c>
      <c r="F17" s="163" t="s">
        <v>5</v>
      </c>
      <c r="G17" s="265" t="s">
        <v>68</v>
      </c>
      <c r="H17" s="265"/>
      <c r="I17" s="163" t="s">
        <v>12</v>
      </c>
      <c r="J17" s="14">
        <v>27</v>
      </c>
      <c r="K17" s="163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163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4</v>
      </c>
      <c r="E25" s="163" t="s">
        <v>28</v>
      </c>
      <c r="F25" s="286">
        <v>1110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163" t="s">
        <v>28</v>
      </c>
      <c r="F26" s="286">
        <v>555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4995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59</v>
      </c>
      <c r="D28" s="265"/>
      <c r="E28" s="265"/>
      <c r="F28" s="163" t="s">
        <v>28</v>
      </c>
      <c r="G28" s="265" t="s">
        <v>60</v>
      </c>
      <c r="H28" s="265"/>
      <c r="I28" s="265"/>
      <c r="J28" s="18"/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83</v>
      </c>
      <c r="D29" s="265"/>
      <c r="E29" s="265"/>
      <c r="F29" s="163" t="s">
        <v>28</v>
      </c>
      <c r="G29" s="265" t="s">
        <v>83</v>
      </c>
      <c r="H29" s="265"/>
      <c r="I29" s="265"/>
      <c r="J29" s="18"/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 t="s">
        <v>60</v>
      </c>
      <c r="D30" s="265"/>
      <c r="E30" s="265"/>
      <c r="F30" s="163" t="s">
        <v>28</v>
      </c>
      <c r="G30" s="265" t="s">
        <v>59</v>
      </c>
      <c r="H30" s="265"/>
      <c r="I30" s="265"/>
      <c r="J30" s="20"/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/>
      <c r="D31" s="265"/>
      <c r="E31" s="265"/>
      <c r="F31" s="163" t="s">
        <v>28</v>
      </c>
      <c r="G31" s="265"/>
      <c r="H31" s="265"/>
      <c r="I31" s="265"/>
      <c r="J31" s="20"/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163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163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80"/>
      <c r="D34" s="280"/>
      <c r="E34" s="280"/>
      <c r="F34" s="163" t="s">
        <v>28</v>
      </c>
      <c r="G34" s="265"/>
      <c r="H34" s="265"/>
      <c r="I34" s="265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163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163"/>
      <c r="G36" s="256"/>
      <c r="H36" s="256"/>
      <c r="I36" s="256"/>
      <c r="J36" s="22">
        <f>J28+J29+J30+J31+J32+J33+J34+J35</f>
        <v>0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170"/>
      <c r="M37" s="290">
        <f>M26</f>
        <v>4995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163"/>
      <c r="I38" s="163"/>
      <c r="J38" s="25"/>
      <c r="K38" s="6"/>
      <c r="L38" s="165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165" t="s">
        <v>32</v>
      </c>
      <c r="M40" s="286">
        <f>J36*J37</f>
        <v>0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165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165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170"/>
      <c r="F43" s="297">
        <v>0</v>
      </c>
      <c r="G43" s="298"/>
      <c r="H43" s="165"/>
      <c r="I43" s="165"/>
      <c r="J43" s="165"/>
      <c r="K43" s="6" t="s">
        <v>43</v>
      </c>
      <c r="L43" s="170"/>
      <c r="M43" s="266">
        <f>SUM(M37+M39+M40)+M41+M42</f>
        <v>4995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170"/>
      <c r="F44" s="299">
        <v>0</v>
      </c>
      <c r="G44" s="300"/>
      <c r="H44" s="165"/>
      <c r="I44" s="165"/>
      <c r="J44" s="165"/>
      <c r="K44" s="6" t="s">
        <v>45</v>
      </c>
      <c r="L44" s="170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170"/>
      <c r="F45" s="301">
        <f>F43+F44</f>
        <v>0</v>
      </c>
      <c r="G45" s="302"/>
      <c r="H45" s="165"/>
      <c r="I45" s="165"/>
      <c r="J45" s="165"/>
      <c r="K45" s="6"/>
      <c r="L45" s="170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170"/>
      <c r="F46" s="299">
        <v>0</v>
      </c>
      <c r="G46" s="300"/>
      <c r="H46" s="165"/>
      <c r="I46" s="165"/>
      <c r="J46" s="165"/>
      <c r="K46" s="6"/>
      <c r="L46" s="170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170"/>
      <c r="F47" s="301">
        <f>F45+F46</f>
        <v>0</v>
      </c>
      <c r="G47" s="302"/>
      <c r="H47" s="165"/>
      <c r="I47" s="165"/>
      <c r="J47" s="165"/>
      <c r="K47" s="6"/>
      <c r="L47" s="170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170"/>
      <c r="F48" s="297">
        <v>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170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170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170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170"/>
      <c r="F52" s="299">
        <f>SUM(F47:G51)</f>
        <v>0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170"/>
      <c r="F53" s="303">
        <v>0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0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163"/>
      <c r="C56" s="163"/>
      <c r="D56" s="163"/>
      <c r="E56" s="163"/>
      <c r="F56" s="163"/>
      <c r="G56" s="163"/>
      <c r="H56" s="6"/>
      <c r="I56" s="163"/>
      <c r="J56" s="163"/>
      <c r="K56" s="163"/>
      <c r="L56" s="163"/>
      <c r="M56" s="163"/>
      <c r="N56" s="164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62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63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/>
      <c r="M63" s="52"/>
      <c r="N63" s="53"/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V75"/>
  <sheetViews>
    <sheetView topLeftCell="A38" zoomScaleNormal="100" workbookViewId="0">
      <selection activeCell="F53" sqref="F53:G54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25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62"/>
      <c r="M4" s="162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162" t="s">
        <v>2</v>
      </c>
      <c r="M5" s="162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12</v>
      </c>
      <c r="K8" s="154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1556.2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160"/>
      <c r="B11" s="268">
        <f>$M$9</f>
        <v>1556.2</v>
      </c>
      <c r="C11" s="268"/>
      <c r="D11" s="269" t="s">
        <v>140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157" t="s">
        <v>138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2"/>
    </row>
    <row r="14" spans="1:20">
      <c r="A14" s="5"/>
      <c r="B14" s="271" t="s">
        <v>139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9"/>
    </row>
    <row r="17" spans="1:22">
      <c r="A17" s="5"/>
      <c r="B17" s="6" t="s">
        <v>11</v>
      </c>
      <c r="C17" s="6"/>
      <c r="D17" s="6"/>
      <c r="E17" s="14">
        <v>16</v>
      </c>
      <c r="F17" s="154" t="s">
        <v>5</v>
      </c>
      <c r="G17" s="265" t="s">
        <v>68</v>
      </c>
      <c r="H17" s="265"/>
      <c r="I17" s="154" t="s">
        <v>12</v>
      </c>
      <c r="J17" s="14">
        <v>16</v>
      </c>
      <c r="K17" s="154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154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0</v>
      </c>
      <c r="E25" s="154" t="s">
        <v>28</v>
      </c>
      <c r="F25" s="286">
        <v>2220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154" t="s">
        <v>28</v>
      </c>
      <c r="F26" s="286">
        <v>1110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1110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74</v>
      </c>
      <c r="D28" s="265"/>
      <c r="E28" s="265"/>
      <c r="F28" s="154" t="s">
        <v>28</v>
      </c>
      <c r="G28" s="265" t="s">
        <v>69</v>
      </c>
      <c r="H28" s="265"/>
      <c r="I28" s="265"/>
      <c r="J28" s="18">
        <v>235</v>
      </c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69</v>
      </c>
      <c r="D29" s="265"/>
      <c r="E29" s="265"/>
      <c r="F29" s="154" t="s">
        <v>28</v>
      </c>
      <c r="G29" s="265" t="s">
        <v>60</v>
      </c>
      <c r="H29" s="265"/>
      <c r="I29" s="265"/>
      <c r="J29" s="18">
        <v>30</v>
      </c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 t="s">
        <v>60</v>
      </c>
      <c r="D30" s="265"/>
      <c r="E30" s="265"/>
      <c r="F30" s="154" t="s">
        <v>28</v>
      </c>
      <c r="G30" s="265" t="s">
        <v>74</v>
      </c>
      <c r="H30" s="265"/>
      <c r="I30" s="265"/>
      <c r="J30" s="20">
        <v>195</v>
      </c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/>
      <c r="D31" s="265"/>
      <c r="E31" s="265"/>
      <c r="F31" s="154" t="s">
        <v>28</v>
      </c>
      <c r="G31" s="265"/>
      <c r="H31" s="265"/>
      <c r="I31" s="265"/>
      <c r="J31" s="20"/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154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154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65"/>
      <c r="D34" s="265"/>
      <c r="E34" s="265"/>
      <c r="F34" s="154" t="s">
        <v>28</v>
      </c>
      <c r="G34" s="280"/>
      <c r="H34" s="280"/>
      <c r="I34" s="280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154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154" t="s">
        <v>28</v>
      </c>
      <c r="G36" s="256"/>
      <c r="H36" s="256"/>
      <c r="I36" s="256"/>
      <c r="J36" s="22">
        <f>J28+J29+J30+J31+J32+J33+J35</f>
        <v>460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161"/>
      <c r="M37" s="290">
        <f>M26</f>
        <v>1110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154"/>
      <c r="I38" s="154"/>
      <c r="J38" s="25"/>
      <c r="K38" s="6"/>
      <c r="L38" s="156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156" t="s">
        <v>32</v>
      </c>
      <c r="M40" s="286">
        <f>J36*J37</f>
        <v>446.2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156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156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161"/>
      <c r="F43" s="297">
        <v>0</v>
      </c>
      <c r="G43" s="298"/>
      <c r="H43" s="156"/>
      <c r="I43" s="156"/>
      <c r="J43" s="156"/>
      <c r="K43" s="6" t="s">
        <v>43</v>
      </c>
      <c r="L43" s="161"/>
      <c r="M43" s="266">
        <f>SUM(M37+M39+M40)+M41+M42</f>
        <v>1556.2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161"/>
      <c r="F44" s="299">
        <f>118+118+615.5</f>
        <v>851.5</v>
      </c>
      <c r="G44" s="300"/>
      <c r="H44" s="156"/>
      <c r="I44" s="156"/>
      <c r="J44" s="156"/>
      <c r="K44" s="6" t="s">
        <v>45</v>
      </c>
      <c r="L44" s="161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161"/>
      <c r="F45" s="301">
        <f>F43+F44</f>
        <v>851.5</v>
      </c>
      <c r="G45" s="302"/>
      <c r="H45" s="156"/>
      <c r="I45" s="156"/>
      <c r="J45" s="156"/>
      <c r="K45" s="6"/>
      <c r="L45" s="161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161"/>
      <c r="F46" s="299">
        <v>24.01</v>
      </c>
      <c r="G46" s="300"/>
      <c r="H46" s="156"/>
      <c r="I46" s="156"/>
      <c r="J46" s="156"/>
      <c r="K46" s="6"/>
      <c r="L46" s="161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161"/>
      <c r="F47" s="301">
        <f>F45+F46</f>
        <v>875.51</v>
      </c>
      <c r="G47" s="302"/>
      <c r="H47" s="156"/>
      <c r="I47" s="156"/>
      <c r="J47" s="156"/>
      <c r="K47" s="6"/>
      <c r="L47" s="161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161"/>
      <c r="F48" s="297">
        <f>450.22+230.47</f>
        <v>680.69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161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161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161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161"/>
      <c r="F52" s="299">
        <f>SUM(F47:G51)</f>
        <v>1556.2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161"/>
      <c r="F53" s="303">
        <f>+M43-F52</f>
        <v>0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1556.2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154"/>
      <c r="C56" s="154"/>
      <c r="D56" s="154"/>
      <c r="E56" s="154"/>
      <c r="F56" s="154"/>
      <c r="G56" s="154"/>
      <c r="H56" s="6"/>
      <c r="I56" s="154"/>
      <c r="J56" s="154"/>
      <c r="K56" s="154"/>
      <c r="L56" s="154"/>
      <c r="M56" s="154"/>
      <c r="N56" s="155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136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137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 t="s">
        <v>154</v>
      </c>
      <c r="M63" s="52">
        <v>13616</v>
      </c>
      <c r="N63" s="53">
        <v>42412</v>
      </c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M41:N41"/>
    <mergeCell ref="M42:N42"/>
    <mergeCell ref="F43:G43"/>
    <mergeCell ref="M43:N43"/>
    <mergeCell ref="M40:N4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V75"/>
  <sheetViews>
    <sheetView topLeftCell="A43" zoomScaleNormal="100" workbookViewId="0">
      <selection activeCell="O69" sqref="O69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24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53"/>
      <c r="M4" s="153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153" t="s">
        <v>2</v>
      </c>
      <c r="M5" s="153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12</v>
      </c>
      <c r="K8" s="145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1665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151"/>
      <c r="B11" s="268">
        <f>$M$9</f>
        <v>1665</v>
      </c>
      <c r="C11" s="268"/>
      <c r="D11" s="269" t="s">
        <v>95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148" t="s">
        <v>134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2"/>
    </row>
    <row r="14" spans="1:20">
      <c r="A14" s="5"/>
      <c r="B14" s="271" t="s">
        <v>133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50"/>
    </row>
    <row r="17" spans="1:22">
      <c r="A17" s="5"/>
      <c r="B17" s="6" t="s">
        <v>11</v>
      </c>
      <c r="C17" s="6"/>
      <c r="D17" s="6"/>
      <c r="E17" s="14">
        <v>16</v>
      </c>
      <c r="F17" s="145" t="s">
        <v>5</v>
      </c>
      <c r="G17" s="265" t="s">
        <v>68</v>
      </c>
      <c r="H17" s="265"/>
      <c r="I17" s="145" t="s">
        <v>12</v>
      </c>
      <c r="J17" s="14">
        <v>17</v>
      </c>
      <c r="K17" s="145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145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1</v>
      </c>
      <c r="E25" s="145" t="s">
        <v>28</v>
      </c>
      <c r="F25" s="286">
        <v>1110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145" t="s">
        <v>28</v>
      </c>
      <c r="F26" s="286">
        <v>555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1665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74</v>
      </c>
      <c r="D28" s="265"/>
      <c r="E28" s="265"/>
      <c r="F28" s="145" t="s">
        <v>28</v>
      </c>
      <c r="G28" s="265" t="s">
        <v>60</v>
      </c>
      <c r="H28" s="265"/>
      <c r="I28" s="265"/>
      <c r="J28" s="18"/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60</v>
      </c>
      <c r="D29" s="265"/>
      <c r="E29" s="265"/>
      <c r="F29" s="145" t="s">
        <v>28</v>
      </c>
      <c r="G29" s="265" t="s">
        <v>78</v>
      </c>
      <c r="H29" s="265"/>
      <c r="I29" s="265"/>
      <c r="J29" s="18"/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 t="s">
        <v>78</v>
      </c>
      <c r="D30" s="265"/>
      <c r="E30" s="265"/>
      <c r="F30" s="145" t="s">
        <v>28</v>
      </c>
      <c r="G30" s="265" t="s">
        <v>74</v>
      </c>
      <c r="H30" s="265"/>
      <c r="I30" s="265"/>
      <c r="J30" s="20"/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/>
      <c r="D31" s="265"/>
      <c r="E31" s="265"/>
      <c r="F31" s="145" t="s">
        <v>28</v>
      </c>
      <c r="G31" s="265"/>
      <c r="H31" s="265"/>
      <c r="I31" s="265"/>
      <c r="J31" s="20"/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145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145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80"/>
      <c r="D34" s="280"/>
      <c r="E34" s="280"/>
      <c r="F34" s="145" t="s">
        <v>28</v>
      </c>
      <c r="G34" s="265"/>
      <c r="H34" s="265"/>
      <c r="I34" s="265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145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145"/>
      <c r="G36" s="256"/>
      <c r="H36" s="256"/>
      <c r="I36" s="256"/>
      <c r="J36" s="22">
        <f>J28+J29+J30+J31+J32+J33+J34+J35</f>
        <v>0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152"/>
      <c r="M37" s="290">
        <f>M26</f>
        <v>1665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145"/>
      <c r="I38" s="145"/>
      <c r="J38" s="25"/>
      <c r="K38" s="6"/>
      <c r="L38" s="147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147" t="s">
        <v>32</v>
      </c>
      <c r="M40" s="286">
        <f>J36*J37</f>
        <v>0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147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147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152"/>
      <c r="F43" s="297">
        <v>600</v>
      </c>
      <c r="G43" s="298"/>
      <c r="H43" s="147"/>
      <c r="I43" s="147"/>
      <c r="J43" s="147"/>
      <c r="K43" s="6" t="s">
        <v>43</v>
      </c>
      <c r="L43" s="152"/>
      <c r="M43" s="266">
        <f>SUM(M37+M39+M40)+M41+M42</f>
        <v>1665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152"/>
      <c r="F44" s="299">
        <f>429.99+528</f>
        <v>957.99</v>
      </c>
      <c r="G44" s="300"/>
      <c r="H44" s="147"/>
      <c r="I44" s="147"/>
      <c r="J44" s="147"/>
      <c r="K44" s="6" t="s">
        <v>45</v>
      </c>
      <c r="L44" s="152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152"/>
      <c r="F45" s="301">
        <f>F43+F44</f>
        <v>1557.99</v>
      </c>
      <c r="G45" s="302"/>
      <c r="H45" s="147"/>
      <c r="I45" s="147"/>
      <c r="J45" s="147"/>
      <c r="K45" s="6"/>
      <c r="L45" s="152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152"/>
      <c r="F46" s="299">
        <v>107.01</v>
      </c>
      <c r="G46" s="300"/>
      <c r="H46" s="147"/>
      <c r="I46" s="147"/>
      <c r="J46" s="147"/>
      <c r="K46" s="6"/>
      <c r="L46" s="152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152"/>
      <c r="F47" s="301">
        <f>F45+F46</f>
        <v>1665</v>
      </c>
      <c r="G47" s="302"/>
      <c r="H47" s="147"/>
      <c r="I47" s="147"/>
      <c r="J47" s="147"/>
      <c r="K47" s="6"/>
      <c r="L47" s="152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152"/>
      <c r="F48" s="297">
        <v>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152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152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152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152"/>
      <c r="F52" s="299">
        <f>SUM(F47:G51)</f>
        <v>1665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152"/>
      <c r="F53" s="303">
        <f>+M43-F52</f>
        <v>0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1665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145"/>
      <c r="C56" s="145"/>
      <c r="D56" s="145"/>
      <c r="E56" s="145"/>
      <c r="F56" s="145"/>
      <c r="G56" s="145"/>
      <c r="H56" s="6"/>
      <c r="I56" s="145"/>
      <c r="J56" s="145"/>
      <c r="K56" s="145"/>
      <c r="L56" s="145"/>
      <c r="M56" s="145"/>
      <c r="N56" s="146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77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0" t="s">
        <v>81</v>
      </c>
      <c r="J60" s="310"/>
      <c r="K60" s="310"/>
      <c r="L60" s="310"/>
      <c r="M60" s="310"/>
      <c r="N60" s="313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 t="s">
        <v>154</v>
      </c>
      <c r="M63" s="52">
        <v>13614</v>
      </c>
      <c r="N63" s="53">
        <v>42412</v>
      </c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V75"/>
  <sheetViews>
    <sheetView zoomScaleNormal="100" workbookViewId="0">
      <selection activeCell="B14" sqref="B14:N14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57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254"/>
      <c r="M4" s="254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254" t="s">
        <v>2</v>
      </c>
      <c r="M5" s="254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29</v>
      </c>
      <c r="K8" s="246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4512.2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252"/>
      <c r="B11" s="268">
        <f>$M$9</f>
        <v>4512.2</v>
      </c>
      <c r="C11" s="268"/>
      <c r="D11" s="269" t="s">
        <v>178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249" t="s">
        <v>179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12"/>
    </row>
    <row r="14" spans="1:20">
      <c r="A14" s="5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1"/>
    </row>
    <row r="17" spans="1:22">
      <c r="A17" s="5"/>
      <c r="B17" s="6" t="s">
        <v>11</v>
      </c>
      <c r="C17" s="6"/>
      <c r="D17" s="6"/>
      <c r="E17" s="14">
        <v>29</v>
      </c>
      <c r="F17" s="246" t="s">
        <v>5</v>
      </c>
      <c r="G17" s="265" t="s">
        <v>68</v>
      </c>
      <c r="H17" s="265"/>
      <c r="I17" s="246" t="s">
        <v>12</v>
      </c>
      <c r="J17" s="14">
        <v>1</v>
      </c>
      <c r="K17" s="246" t="s">
        <v>13</v>
      </c>
      <c r="L17" s="265" t="s">
        <v>162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246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1</v>
      </c>
      <c r="E25" s="246" t="s">
        <v>28</v>
      </c>
      <c r="F25" s="286">
        <v>2500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246" t="s">
        <v>28</v>
      </c>
      <c r="F26" s="286">
        <v>1500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4000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74</v>
      </c>
      <c r="D28" s="265"/>
      <c r="E28" s="265"/>
      <c r="F28" s="246" t="s">
        <v>28</v>
      </c>
      <c r="G28" s="265" t="s">
        <v>60</v>
      </c>
      <c r="H28" s="265"/>
      <c r="I28" s="265"/>
      <c r="J28" s="18">
        <v>197</v>
      </c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60</v>
      </c>
      <c r="D29" s="265"/>
      <c r="E29" s="265"/>
      <c r="F29" s="246" t="s">
        <v>28</v>
      </c>
      <c r="G29" s="265" t="s">
        <v>74</v>
      </c>
      <c r="H29" s="265"/>
      <c r="I29" s="265"/>
      <c r="J29" s="18">
        <v>197</v>
      </c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/>
      <c r="D30" s="265"/>
      <c r="E30" s="265"/>
      <c r="F30" s="246" t="s">
        <v>28</v>
      </c>
      <c r="G30" s="265"/>
      <c r="H30" s="265"/>
      <c r="I30" s="265"/>
      <c r="J30" s="20"/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/>
      <c r="D31" s="265"/>
      <c r="E31" s="265"/>
      <c r="F31" s="246" t="s">
        <v>28</v>
      </c>
      <c r="G31" s="265"/>
      <c r="H31" s="265"/>
      <c r="I31" s="265"/>
      <c r="J31" s="20"/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246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246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65"/>
      <c r="D34" s="265"/>
      <c r="E34" s="265"/>
      <c r="F34" s="246" t="s">
        <v>28</v>
      </c>
      <c r="G34" s="280"/>
      <c r="H34" s="280"/>
      <c r="I34" s="280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246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246" t="s">
        <v>28</v>
      </c>
      <c r="G36" s="256"/>
      <c r="H36" s="256"/>
      <c r="I36" s="256"/>
      <c r="J36" s="22">
        <f>J28+J29+J30+J31+J32+J33+J35</f>
        <v>394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1.3</v>
      </c>
      <c r="K37" s="6"/>
      <c r="L37" s="253"/>
      <c r="M37" s="290">
        <f>M26</f>
        <v>4000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246"/>
      <c r="I38" s="246"/>
      <c r="J38" s="25"/>
      <c r="K38" s="6"/>
      <c r="L38" s="248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248" t="s">
        <v>32</v>
      </c>
      <c r="M40" s="286">
        <f>J36*J37</f>
        <v>512.20000000000005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248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248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253"/>
      <c r="F43" s="297">
        <v>0</v>
      </c>
      <c r="G43" s="298"/>
      <c r="H43" s="248"/>
      <c r="I43" s="248"/>
      <c r="J43" s="248"/>
      <c r="K43" s="6" t="s">
        <v>43</v>
      </c>
      <c r="L43" s="253"/>
      <c r="M43" s="266">
        <f>SUM(M37+M39+M40)+M41+M42</f>
        <v>4512.2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253"/>
      <c r="F44" s="299">
        <v>0</v>
      </c>
      <c r="G44" s="300"/>
      <c r="H44" s="248"/>
      <c r="I44" s="248"/>
      <c r="J44" s="248"/>
      <c r="K44" s="6" t="s">
        <v>45</v>
      </c>
      <c r="L44" s="253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253"/>
      <c r="F45" s="301">
        <f>F43+F44</f>
        <v>0</v>
      </c>
      <c r="G45" s="302"/>
      <c r="H45" s="248"/>
      <c r="I45" s="248"/>
      <c r="J45" s="248"/>
      <c r="K45" s="6"/>
      <c r="L45" s="253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253"/>
      <c r="F46" s="299">
        <v>0</v>
      </c>
      <c r="G46" s="300"/>
      <c r="H46" s="248"/>
      <c r="I46" s="248"/>
      <c r="J46" s="248"/>
      <c r="K46" s="6"/>
      <c r="L46" s="253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253"/>
      <c r="F47" s="301">
        <f>F45+F46</f>
        <v>0</v>
      </c>
      <c r="G47" s="302"/>
      <c r="H47" s="248"/>
      <c r="I47" s="248"/>
      <c r="J47" s="248"/>
      <c r="K47" s="6"/>
      <c r="L47" s="253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253"/>
      <c r="F48" s="297">
        <v>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253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253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253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253"/>
      <c r="F52" s="299">
        <f>SUM(F47:G51)</f>
        <v>0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253"/>
      <c r="F53" s="303">
        <v>0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0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246"/>
      <c r="C56" s="246"/>
      <c r="D56" s="246"/>
      <c r="E56" s="246"/>
      <c r="F56" s="246"/>
      <c r="G56" s="246"/>
      <c r="H56" s="6"/>
      <c r="I56" s="246"/>
      <c r="J56" s="246"/>
      <c r="K56" s="246"/>
      <c r="L56" s="246"/>
      <c r="M56" s="246"/>
      <c r="N56" s="247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90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91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/>
      <c r="M63" s="52"/>
      <c r="N63" s="53"/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V75"/>
  <sheetViews>
    <sheetView topLeftCell="A38" zoomScaleNormal="100" workbookViewId="0">
      <selection activeCell="I58" sqref="I58:N60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23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53"/>
      <c r="M4" s="153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153" t="s">
        <v>2</v>
      </c>
      <c r="M5" s="153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12</v>
      </c>
      <c r="K8" s="145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3924.61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151"/>
      <c r="B11" s="268">
        <f>$M$9</f>
        <v>3924.61</v>
      </c>
      <c r="C11" s="268"/>
      <c r="D11" s="269" t="s">
        <v>135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148" t="s">
        <v>134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2"/>
    </row>
    <row r="14" spans="1:20">
      <c r="A14" s="5"/>
      <c r="B14" s="271" t="s">
        <v>133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50"/>
    </row>
    <row r="17" spans="1:22">
      <c r="A17" s="5"/>
      <c r="B17" s="6" t="s">
        <v>11</v>
      </c>
      <c r="C17" s="6"/>
      <c r="D17" s="6"/>
      <c r="E17" s="14">
        <v>16</v>
      </c>
      <c r="F17" s="145" t="s">
        <v>5</v>
      </c>
      <c r="G17" s="265" t="s">
        <v>68</v>
      </c>
      <c r="H17" s="265"/>
      <c r="I17" s="145" t="s">
        <v>12</v>
      </c>
      <c r="J17" s="14">
        <v>17</v>
      </c>
      <c r="K17" s="145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145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1</v>
      </c>
      <c r="E25" s="145" t="s">
        <v>28</v>
      </c>
      <c r="F25" s="286">
        <v>2220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145" t="s">
        <v>28</v>
      </c>
      <c r="F26" s="286">
        <v>1110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3330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74</v>
      </c>
      <c r="D28" s="265"/>
      <c r="E28" s="265"/>
      <c r="F28" s="145" t="s">
        <v>28</v>
      </c>
      <c r="G28" s="265" t="s">
        <v>60</v>
      </c>
      <c r="H28" s="265"/>
      <c r="I28" s="265"/>
      <c r="J28" s="18">
        <v>195</v>
      </c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60</v>
      </c>
      <c r="D29" s="265"/>
      <c r="E29" s="265"/>
      <c r="F29" s="145" t="s">
        <v>28</v>
      </c>
      <c r="G29" s="265" t="s">
        <v>78</v>
      </c>
      <c r="H29" s="265"/>
      <c r="I29" s="265"/>
      <c r="J29" s="18">
        <v>115</v>
      </c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 t="s">
        <v>78</v>
      </c>
      <c r="D30" s="265"/>
      <c r="E30" s="265"/>
      <c r="F30" s="145" t="s">
        <v>28</v>
      </c>
      <c r="G30" s="265" t="s">
        <v>74</v>
      </c>
      <c r="H30" s="265"/>
      <c r="I30" s="265"/>
      <c r="J30" s="20">
        <v>303</v>
      </c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/>
      <c r="D31" s="265"/>
      <c r="E31" s="265"/>
      <c r="F31" s="145" t="s">
        <v>28</v>
      </c>
      <c r="G31" s="265"/>
      <c r="H31" s="265"/>
      <c r="I31" s="265"/>
      <c r="J31" s="20"/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145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145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65"/>
      <c r="D34" s="265"/>
      <c r="E34" s="265"/>
      <c r="F34" s="145" t="s">
        <v>28</v>
      </c>
      <c r="G34" s="280"/>
      <c r="H34" s="280"/>
      <c r="I34" s="280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145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145" t="s">
        <v>28</v>
      </c>
      <c r="G36" s="256"/>
      <c r="H36" s="256"/>
      <c r="I36" s="256"/>
      <c r="J36" s="22">
        <f>J28+J29+J30+J31+J32+J33+J35</f>
        <v>613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152"/>
      <c r="M37" s="290">
        <f>M26</f>
        <v>3330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145"/>
      <c r="I38" s="145"/>
      <c r="J38" s="25"/>
      <c r="K38" s="6"/>
      <c r="L38" s="147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147" t="s">
        <v>32</v>
      </c>
      <c r="M40" s="286">
        <f>J36*J37</f>
        <v>594.61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147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147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152"/>
      <c r="F43" s="297">
        <v>0</v>
      </c>
      <c r="G43" s="298"/>
      <c r="H43" s="147"/>
      <c r="I43" s="147"/>
      <c r="J43" s="147"/>
      <c r="K43" s="6" t="s">
        <v>43</v>
      </c>
      <c r="L43" s="152"/>
      <c r="M43" s="266">
        <f>SUM(M37+M39+M40)+M41+M42</f>
        <v>3924.61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152"/>
      <c r="F44" s="299">
        <f>435+615.5+503.15</f>
        <v>1553.65</v>
      </c>
      <c r="G44" s="300"/>
      <c r="H44" s="147"/>
      <c r="I44" s="147"/>
      <c r="J44" s="147"/>
      <c r="K44" s="6" t="s">
        <v>45</v>
      </c>
      <c r="L44" s="152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152"/>
      <c r="F45" s="301">
        <f>F43+F44</f>
        <v>1553.65</v>
      </c>
      <c r="G45" s="302"/>
      <c r="H45" s="147"/>
      <c r="I45" s="147"/>
      <c r="J45" s="147"/>
      <c r="K45" s="6"/>
      <c r="L45" s="152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152"/>
      <c r="F46" s="299">
        <v>432</v>
      </c>
      <c r="G46" s="300"/>
      <c r="H46" s="147"/>
      <c r="I46" s="147"/>
      <c r="J46" s="147"/>
      <c r="K46" s="6"/>
      <c r="L46" s="152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152"/>
      <c r="F47" s="301">
        <f>F45+F46</f>
        <v>1985.65</v>
      </c>
      <c r="G47" s="302"/>
      <c r="H47" s="147"/>
      <c r="I47" s="147"/>
      <c r="J47" s="147"/>
      <c r="K47" s="6"/>
      <c r="L47" s="152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152"/>
      <c r="F48" s="297">
        <f>610.11+550.86</f>
        <v>1160.97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152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152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152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152"/>
      <c r="F52" s="299">
        <f>SUM(F47:G51)</f>
        <v>3146.62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152"/>
      <c r="F53" s="303">
        <f>+M43-F52</f>
        <v>777.99000000000024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3924.61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145"/>
      <c r="C56" s="145"/>
      <c r="D56" s="145"/>
      <c r="E56" s="145"/>
      <c r="F56" s="145"/>
      <c r="G56" s="145"/>
      <c r="H56" s="6"/>
      <c r="I56" s="145"/>
      <c r="J56" s="145"/>
      <c r="K56" s="145"/>
      <c r="L56" s="145"/>
      <c r="M56" s="145"/>
      <c r="N56" s="146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75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76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 t="s">
        <v>154</v>
      </c>
      <c r="M63" s="52">
        <v>13613</v>
      </c>
      <c r="N63" s="53">
        <v>42412</v>
      </c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V75"/>
  <sheetViews>
    <sheetView topLeftCell="A40" zoomScaleNormal="100" workbookViewId="0">
      <selection activeCell="I58" sqref="I58:N60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22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53"/>
      <c r="M4" s="153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153" t="s">
        <v>2</v>
      </c>
      <c r="M5" s="153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12</v>
      </c>
      <c r="K8" s="145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3766.5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151"/>
      <c r="B11" s="268">
        <f>$M$9</f>
        <v>3766.5</v>
      </c>
      <c r="C11" s="268"/>
      <c r="D11" s="269" t="s">
        <v>132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148" t="s">
        <v>114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2"/>
    </row>
    <row r="14" spans="1:20">
      <c r="A14" s="5"/>
      <c r="B14" s="271" t="s">
        <v>115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50"/>
    </row>
    <row r="17" spans="1:22">
      <c r="A17" s="5"/>
      <c r="B17" s="6" t="s">
        <v>11</v>
      </c>
      <c r="C17" s="6"/>
      <c r="D17" s="6"/>
      <c r="E17" s="14">
        <v>15</v>
      </c>
      <c r="F17" s="145" t="s">
        <v>5</v>
      </c>
      <c r="G17" s="265" t="s">
        <v>68</v>
      </c>
      <c r="H17" s="265"/>
      <c r="I17" s="145" t="s">
        <v>12</v>
      </c>
      <c r="J17" s="14">
        <v>16</v>
      </c>
      <c r="K17" s="145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145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1</v>
      </c>
      <c r="E25" s="145" t="s">
        <v>28</v>
      </c>
      <c r="F25" s="286">
        <v>2220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145" t="s">
        <v>28</v>
      </c>
      <c r="F26" s="286">
        <v>1110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3330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74</v>
      </c>
      <c r="D28" s="265"/>
      <c r="E28" s="265"/>
      <c r="F28" s="145" t="s">
        <v>28</v>
      </c>
      <c r="G28" s="265" t="s">
        <v>60</v>
      </c>
      <c r="H28" s="265"/>
      <c r="I28" s="265"/>
      <c r="J28" s="18">
        <v>195</v>
      </c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60</v>
      </c>
      <c r="D29" s="265"/>
      <c r="E29" s="265"/>
      <c r="F29" s="145" t="s">
        <v>28</v>
      </c>
      <c r="G29" s="265" t="s">
        <v>69</v>
      </c>
      <c r="H29" s="265"/>
      <c r="I29" s="265"/>
      <c r="J29" s="18">
        <v>30</v>
      </c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 t="s">
        <v>69</v>
      </c>
      <c r="D30" s="265"/>
      <c r="E30" s="265"/>
      <c r="F30" s="145" t="s">
        <v>28</v>
      </c>
      <c r="G30" s="265" t="s">
        <v>60</v>
      </c>
      <c r="H30" s="265"/>
      <c r="I30" s="265"/>
      <c r="J30" s="20">
        <v>30</v>
      </c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 t="s">
        <v>60</v>
      </c>
      <c r="D31" s="265"/>
      <c r="E31" s="265"/>
      <c r="F31" s="145" t="s">
        <v>28</v>
      </c>
      <c r="G31" s="265" t="s">
        <v>74</v>
      </c>
      <c r="H31" s="265"/>
      <c r="I31" s="265"/>
      <c r="J31" s="20">
        <v>195</v>
      </c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145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145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65"/>
      <c r="D34" s="265"/>
      <c r="E34" s="265"/>
      <c r="F34" s="145" t="s">
        <v>28</v>
      </c>
      <c r="G34" s="280"/>
      <c r="H34" s="280"/>
      <c r="I34" s="280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145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145" t="s">
        <v>28</v>
      </c>
      <c r="G36" s="256"/>
      <c r="H36" s="256"/>
      <c r="I36" s="256"/>
      <c r="J36" s="22">
        <f>J28+J29+J30+J31+J32+J33+J35</f>
        <v>450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152"/>
      <c r="M37" s="290">
        <f>M26</f>
        <v>3330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145"/>
      <c r="I38" s="145"/>
      <c r="J38" s="25"/>
      <c r="K38" s="6"/>
      <c r="L38" s="147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147" t="s">
        <v>32</v>
      </c>
      <c r="M40" s="286">
        <f>J36*J37</f>
        <v>436.5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147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147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152"/>
      <c r="F43" s="297">
        <v>0</v>
      </c>
      <c r="G43" s="298"/>
      <c r="H43" s="147"/>
      <c r="I43" s="147"/>
      <c r="J43" s="147"/>
      <c r="K43" s="6" t="s">
        <v>43</v>
      </c>
      <c r="L43" s="152"/>
      <c r="M43" s="266">
        <f>SUM(M37+M39+M40)+M41+M42</f>
        <v>3766.5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152"/>
      <c r="F44" s="299">
        <f>118+319</f>
        <v>437</v>
      </c>
      <c r="G44" s="300"/>
      <c r="H44" s="147"/>
      <c r="I44" s="147"/>
      <c r="J44" s="147"/>
      <c r="K44" s="6" t="s">
        <v>45</v>
      </c>
      <c r="L44" s="152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152"/>
      <c r="F45" s="301">
        <f>F43+F44</f>
        <v>437</v>
      </c>
      <c r="G45" s="302"/>
      <c r="H45" s="147"/>
      <c r="I45" s="147"/>
      <c r="J45" s="147"/>
      <c r="K45" s="6"/>
      <c r="L45" s="152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152"/>
      <c r="F46" s="299">
        <v>65</v>
      </c>
      <c r="G46" s="300"/>
      <c r="H46" s="147"/>
      <c r="I46" s="147"/>
      <c r="J46" s="147"/>
      <c r="K46" s="6"/>
      <c r="L46" s="152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152"/>
      <c r="F47" s="301">
        <f>F45+F46</f>
        <v>502</v>
      </c>
      <c r="G47" s="302"/>
      <c r="H47" s="147"/>
      <c r="I47" s="147"/>
      <c r="J47" s="147"/>
      <c r="K47" s="6"/>
      <c r="L47" s="152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152"/>
      <c r="F48" s="297">
        <v>526.4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152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152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152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152"/>
      <c r="F52" s="299">
        <f>SUM(F47:G51)</f>
        <v>1028.4000000000001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152"/>
      <c r="F53" s="303">
        <f>+M43-F52</f>
        <v>2738.1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3766.5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145"/>
      <c r="C56" s="145"/>
      <c r="D56" s="145"/>
      <c r="E56" s="145"/>
      <c r="F56" s="145"/>
      <c r="G56" s="145"/>
      <c r="H56" s="6"/>
      <c r="I56" s="145"/>
      <c r="J56" s="145"/>
      <c r="K56" s="145"/>
      <c r="L56" s="145"/>
      <c r="M56" s="145"/>
      <c r="N56" s="146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130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131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 t="s">
        <v>154</v>
      </c>
      <c r="M63" s="52">
        <v>13590</v>
      </c>
      <c r="N63" s="53">
        <v>42412</v>
      </c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V75"/>
  <sheetViews>
    <sheetView topLeftCell="A34" zoomScaleNormal="100" workbookViewId="0">
      <selection activeCell="H58" sqref="H58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20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44"/>
      <c r="M4" s="144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144" t="s">
        <v>2</v>
      </c>
      <c r="M5" s="144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11</v>
      </c>
      <c r="K8" s="136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6034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142"/>
      <c r="B11" s="268">
        <f>$M$9</f>
        <v>6034</v>
      </c>
      <c r="C11" s="268"/>
      <c r="D11" s="269" t="s">
        <v>129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139" t="s">
        <v>125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2"/>
    </row>
    <row r="14" spans="1:20">
      <c r="A14" s="5"/>
      <c r="B14" s="271" t="s">
        <v>126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1"/>
    </row>
    <row r="17" spans="1:22">
      <c r="A17" s="5"/>
      <c r="B17" s="6" t="s">
        <v>11</v>
      </c>
      <c r="C17" s="6"/>
      <c r="D17" s="6"/>
      <c r="E17" s="14">
        <v>15</v>
      </c>
      <c r="F17" s="136" t="s">
        <v>5</v>
      </c>
      <c r="G17" s="265" t="s">
        <v>68</v>
      </c>
      <c r="H17" s="265"/>
      <c r="I17" s="136" t="s">
        <v>12</v>
      </c>
      <c r="J17" s="14">
        <v>19</v>
      </c>
      <c r="K17" s="136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136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4</v>
      </c>
      <c r="E25" s="136" t="s">
        <v>28</v>
      </c>
      <c r="F25" s="286">
        <v>1110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136" t="s">
        <v>28</v>
      </c>
      <c r="F26" s="286">
        <v>555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4995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59</v>
      </c>
      <c r="D28" s="265"/>
      <c r="E28" s="265"/>
      <c r="F28" s="136" t="s">
        <v>28</v>
      </c>
      <c r="G28" s="265" t="s">
        <v>82</v>
      </c>
      <c r="H28" s="265"/>
      <c r="I28" s="265"/>
      <c r="J28" s="18">
        <v>280</v>
      </c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83</v>
      </c>
      <c r="D29" s="265"/>
      <c r="E29" s="265"/>
      <c r="F29" s="136" t="s">
        <v>28</v>
      </c>
      <c r="G29" s="265" t="s">
        <v>83</v>
      </c>
      <c r="H29" s="265"/>
      <c r="I29" s="265"/>
      <c r="J29" s="18">
        <v>140</v>
      </c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 t="s">
        <v>82</v>
      </c>
      <c r="D30" s="265"/>
      <c r="E30" s="265"/>
      <c r="F30" s="136" t="s">
        <v>28</v>
      </c>
      <c r="G30" s="265" t="s">
        <v>59</v>
      </c>
      <c r="H30" s="265"/>
      <c r="I30" s="265"/>
      <c r="J30" s="20">
        <v>280</v>
      </c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/>
      <c r="D31" s="265"/>
      <c r="E31" s="265"/>
      <c r="F31" s="136" t="s">
        <v>28</v>
      </c>
      <c r="G31" s="265"/>
      <c r="H31" s="265"/>
      <c r="I31" s="265"/>
      <c r="J31" s="20"/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136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136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80"/>
      <c r="D34" s="280"/>
      <c r="E34" s="280"/>
      <c r="F34" s="136" t="s">
        <v>28</v>
      </c>
      <c r="G34" s="265"/>
      <c r="H34" s="265"/>
      <c r="I34" s="265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136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136"/>
      <c r="G36" s="256"/>
      <c r="H36" s="256"/>
      <c r="I36" s="256"/>
      <c r="J36" s="22">
        <f>J28+J29+J30+J31+J32+J33+J34+J35</f>
        <v>700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143"/>
      <c r="M37" s="290">
        <f>M26</f>
        <v>4995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136"/>
      <c r="I38" s="136"/>
      <c r="J38" s="25"/>
      <c r="K38" s="6"/>
      <c r="L38" s="138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360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138" t="s">
        <v>32</v>
      </c>
      <c r="M40" s="286">
        <f>J36*J37</f>
        <v>679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138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138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143"/>
      <c r="F43" s="297">
        <v>2142</v>
      </c>
      <c r="G43" s="298"/>
      <c r="H43" s="138"/>
      <c r="I43" s="138"/>
      <c r="J43" s="138"/>
      <c r="K43" s="6" t="s">
        <v>43</v>
      </c>
      <c r="L43" s="143"/>
      <c r="M43" s="266">
        <f>SUM(M37+M39+M40)+M41+M42</f>
        <v>6034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143"/>
      <c r="F44" s="299">
        <f>120.42+175+383.99+499.99+177.39+499.99</f>
        <v>1856.78</v>
      </c>
      <c r="G44" s="300"/>
      <c r="H44" s="138"/>
      <c r="I44" s="138"/>
      <c r="J44" s="138"/>
      <c r="K44" s="6" t="s">
        <v>45</v>
      </c>
      <c r="L44" s="143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143"/>
      <c r="F45" s="301">
        <f>F43+F44</f>
        <v>3998.7799999999997</v>
      </c>
      <c r="G45" s="302"/>
      <c r="H45" s="138"/>
      <c r="I45" s="138"/>
      <c r="J45" s="138"/>
      <c r="K45" s="6"/>
      <c r="L45" s="143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143"/>
      <c r="F46" s="299">
        <v>0</v>
      </c>
      <c r="G46" s="300"/>
      <c r="H46" s="138"/>
      <c r="I46" s="138"/>
      <c r="J46" s="138"/>
      <c r="K46" s="6"/>
      <c r="L46" s="143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143"/>
      <c r="F47" s="301">
        <f>F45+F46</f>
        <v>3998.7799999999997</v>
      </c>
      <c r="G47" s="302"/>
      <c r="H47" s="138"/>
      <c r="I47" s="138"/>
      <c r="J47" s="138"/>
      <c r="K47" s="6"/>
      <c r="L47" s="143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143"/>
      <c r="F48" s="297">
        <f>750+750</f>
        <v>1500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143"/>
      <c r="F49" s="299">
        <f>115+65+115+65</f>
        <v>360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143" t="s">
        <v>50</v>
      </c>
      <c r="F50" s="299">
        <v>0</v>
      </c>
      <c r="G50" s="300"/>
      <c r="H50" s="6"/>
      <c r="I50" s="40" t="s">
        <v>155</v>
      </c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143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143"/>
      <c r="F52" s="299">
        <f>SUM(F47:G51)+200</f>
        <v>6058.78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143"/>
      <c r="F53" s="303">
        <f>+M43-F52</f>
        <v>-24.779999999999745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6034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136"/>
      <c r="C56" s="136"/>
      <c r="D56" s="136"/>
      <c r="E56" s="136"/>
      <c r="F56" s="136"/>
      <c r="G56" s="136"/>
      <c r="H56" s="6"/>
      <c r="I56" s="136"/>
      <c r="J56" s="136"/>
      <c r="K56" s="136"/>
      <c r="L56" s="136"/>
      <c r="M56" s="136"/>
      <c r="N56" s="137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127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128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 t="s">
        <v>154</v>
      </c>
      <c r="M63" s="52">
        <v>13588</v>
      </c>
      <c r="N63" s="53">
        <v>42411</v>
      </c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V75"/>
  <sheetViews>
    <sheetView topLeftCell="A40" zoomScaleNormal="100" workbookViewId="0">
      <selection activeCell="F47" sqref="F47:G47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18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35"/>
      <c r="M4" s="135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135" t="s">
        <v>2</v>
      </c>
      <c r="M5" s="135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11</v>
      </c>
      <c r="K8" s="127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1665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133"/>
      <c r="B11" s="268">
        <f>$M$9</f>
        <v>1665</v>
      </c>
      <c r="C11" s="268"/>
      <c r="D11" s="269" t="s">
        <v>95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130" t="s">
        <v>120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2"/>
    </row>
    <row r="14" spans="1:20">
      <c r="A14" s="5"/>
      <c r="B14" s="271" t="s">
        <v>119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2"/>
    </row>
    <row r="17" spans="1:22">
      <c r="A17" s="5"/>
      <c r="B17" s="6" t="s">
        <v>11</v>
      </c>
      <c r="C17" s="6"/>
      <c r="D17" s="6"/>
      <c r="E17" s="14">
        <v>15</v>
      </c>
      <c r="F17" s="127" t="s">
        <v>5</v>
      </c>
      <c r="G17" s="265" t="s">
        <v>68</v>
      </c>
      <c r="H17" s="265"/>
      <c r="I17" s="127" t="s">
        <v>12</v>
      </c>
      <c r="J17" s="14">
        <v>16</v>
      </c>
      <c r="K17" s="127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127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1</v>
      </c>
      <c r="E25" s="127" t="s">
        <v>28</v>
      </c>
      <c r="F25" s="286">
        <v>1110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127" t="s">
        <v>28</v>
      </c>
      <c r="F26" s="286">
        <v>555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1665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74</v>
      </c>
      <c r="D28" s="265"/>
      <c r="E28" s="265"/>
      <c r="F28" s="127" t="s">
        <v>28</v>
      </c>
      <c r="G28" s="265" t="s">
        <v>105</v>
      </c>
      <c r="H28" s="265"/>
      <c r="I28" s="265"/>
      <c r="J28" s="18"/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105</v>
      </c>
      <c r="D29" s="265"/>
      <c r="E29" s="265"/>
      <c r="F29" s="127" t="s">
        <v>28</v>
      </c>
      <c r="G29" s="265" t="s">
        <v>121</v>
      </c>
      <c r="H29" s="265"/>
      <c r="I29" s="265"/>
      <c r="J29" s="18"/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 t="s">
        <v>121</v>
      </c>
      <c r="D30" s="265"/>
      <c r="E30" s="265"/>
      <c r="F30" s="127" t="s">
        <v>28</v>
      </c>
      <c r="G30" s="265" t="s">
        <v>60</v>
      </c>
      <c r="H30" s="265"/>
      <c r="I30" s="265"/>
      <c r="J30" s="20"/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 t="s">
        <v>60</v>
      </c>
      <c r="D31" s="265"/>
      <c r="E31" s="265"/>
      <c r="F31" s="127" t="s">
        <v>28</v>
      </c>
      <c r="G31" s="265" t="s">
        <v>69</v>
      </c>
      <c r="H31" s="265"/>
      <c r="I31" s="265"/>
      <c r="J31" s="20"/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 t="s">
        <v>69</v>
      </c>
      <c r="D32" s="280"/>
      <c r="E32" s="280"/>
      <c r="F32" s="127" t="s">
        <v>28</v>
      </c>
      <c r="G32" s="280" t="s">
        <v>74</v>
      </c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127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80"/>
      <c r="D34" s="280"/>
      <c r="E34" s="280"/>
      <c r="F34" s="127" t="s">
        <v>28</v>
      </c>
      <c r="G34" s="265"/>
      <c r="H34" s="265"/>
      <c r="I34" s="265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127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127"/>
      <c r="G36" s="256"/>
      <c r="H36" s="256"/>
      <c r="I36" s="256"/>
      <c r="J36" s="22">
        <f>J28+J29+J30+J31+J32+J33+J34+J35</f>
        <v>0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134"/>
      <c r="M37" s="290">
        <f>M26</f>
        <v>1665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127"/>
      <c r="I38" s="127"/>
      <c r="J38" s="25"/>
      <c r="K38" s="6"/>
      <c r="L38" s="129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129" t="s">
        <v>32</v>
      </c>
      <c r="M40" s="286">
        <f>J36*J37</f>
        <v>0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129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129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134"/>
      <c r="F43" s="297">
        <v>1267.4000000000001</v>
      </c>
      <c r="G43" s="298"/>
      <c r="H43" s="129"/>
      <c r="I43" s="129"/>
      <c r="J43" s="129"/>
      <c r="K43" s="6" t="s">
        <v>43</v>
      </c>
      <c r="L43" s="134"/>
      <c r="M43" s="266">
        <f>SUM(M37+M39+M40)+M41+M42</f>
        <v>1665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134"/>
      <c r="F44" s="299">
        <v>370.01</v>
      </c>
      <c r="G44" s="300"/>
      <c r="H44" s="129"/>
      <c r="I44" s="129"/>
      <c r="J44" s="129"/>
      <c r="K44" s="6" t="s">
        <v>45</v>
      </c>
      <c r="L44" s="134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134"/>
      <c r="F45" s="301">
        <f>F43+F44</f>
        <v>1637.41</v>
      </c>
      <c r="G45" s="302"/>
      <c r="H45" s="129"/>
      <c r="I45" s="129"/>
      <c r="J45" s="129"/>
      <c r="K45" s="6"/>
      <c r="L45" s="134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134"/>
      <c r="F46" s="299">
        <v>37</v>
      </c>
      <c r="G46" s="300"/>
      <c r="H46" s="129"/>
      <c r="I46" s="129"/>
      <c r="J46" s="129"/>
      <c r="K46" s="6"/>
      <c r="L46" s="134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134"/>
      <c r="F47" s="301">
        <f>F45+F46</f>
        <v>1674.41</v>
      </c>
      <c r="G47" s="302"/>
      <c r="H47" s="129"/>
      <c r="I47" s="129"/>
      <c r="J47" s="129"/>
      <c r="K47" s="6"/>
      <c r="L47" s="134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134"/>
      <c r="F48" s="297">
        <v>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134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134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134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134"/>
      <c r="F52" s="299">
        <f>SUM(F47:G51)</f>
        <v>1674.41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134"/>
      <c r="F53" s="303">
        <f>+M43-F52</f>
        <v>-9.4100000000000819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1665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127"/>
      <c r="C56" s="127"/>
      <c r="D56" s="127"/>
      <c r="E56" s="127"/>
      <c r="F56" s="127"/>
      <c r="G56" s="127"/>
      <c r="H56" s="6"/>
      <c r="I56" s="127"/>
      <c r="J56" s="127"/>
      <c r="K56" s="127"/>
      <c r="L56" s="127"/>
      <c r="M56" s="127"/>
      <c r="N56" s="128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123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124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 t="s">
        <v>154</v>
      </c>
      <c r="M63" s="52">
        <v>13586</v>
      </c>
      <c r="N63" s="53">
        <v>42411</v>
      </c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M41:N41"/>
    <mergeCell ref="M42:N42"/>
    <mergeCell ref="F43:G43"/>
    <mergeCell ref="M43:N43"/>
    <mergeCell ref="M40:N4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V75"/>
  <sheetViews>
    <sheetView topLeftCell="A35" zoomScaleNormal="100" workbookViewId="0">
      <selection activeCell="F47" sqref="F47:G47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17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35"/>
      <c r="M4" s="135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135" t="s">
        <v>2</v>
      </c>
      <c r="M5" s="135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11</v>
      </c>
      <c r="K8" s="127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2802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133"/>
      <c r="B11" s="268">
        <f>$M$9</f>
        <v>2802</v>
      </c>
      <c r="C11" s="268"/>
      <c r="D11" s="269" t="s">
        <v>122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130" t="s">
        <v>120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2"/>
    </row>
    <row r="14" spans="1:20">
      <c r="A14" s="5"/>
      <c r="B14" s="271" t="s">
        <v>119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2"/>
    </row>
    <row r="17" spans="1:22">
      <c r="A17" s="5"/>
      <c r="B17" s="6" t="s">
        <v>11</v>
      </c>
      <c r="C17" s="6"/>
      <c r="D17" s="6"/>
      <c r="E17" s="14">
        <v>15</v>
      </c>
      <c r="F17" s="127" t="s">
        <v>5</v>
      </c>
      <c r="G17" s="265" t="s">
        <v>68</v>
      </c>
      <c r="H17" s="265"/>
      <c r="I17" s="127" t="s">
        <v>12</v>
      </c>
      <c r="J17" s="14">
        <v>16</v>
      </c>
      <c r="K17" s="127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127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1</v>
      </c>
      <c r="E25" s="127" t="s">
        <v>28</v>
      </c>
      <c r="F25" s="286">
        <v>1387.5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127" t="s">
        <v>28</v>
      </c>
      <c r="F26" s="286">
        <v>832.5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2220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74</v>
      </c>
      <c r="D28" s="265"/>
      <c r="E28" s="265"/>
      <c r="F28" s="127" t="s">
        <v>28</v>
      </c>
      <c r="G28" s="265" t="s">
        <v>105</v>
      </c>
      <c r="H28" s="265"/>
      <c r="I28" s="265"/>
      <c r="J28" s="18">
        <v>230</v>
      </c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105</v>
      </c>
      <c r="D29" s="265"/>
      <c r="E29" s="265"/>
      <c r="F29" s="127" t="s">
        <v>28</v>
      </c>
      <c r="G29" s="265" t="s">
        <v>121</v>
      </c>
      <c r="H29" s="265"/>
      <c r="I29" s="265"/>
      <c r="J29" s="18">
        <v>35</v>
      </c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 t="s">
        <v>121</v>
      </c>
      <c r="D30" s="265"/>
      <c r="E30" s="265"/>
      <c r="F30" s="127" t="s">
        <v>28</v>
      </c>
      <c r="G30" s="265" t="s">
        <v>60</v>
      </c>
      <c r="H30" s="265"/>
      <c r="I30" s="265"/>
      <c r="J30" s="20">
        <v>70</v>
      </c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 t="s">
        <v>60</v>
      </c>
      <c r="D31" s="265"/>
      <c r="E31" s="265"/>
      <c r="F31" s="127" t="s">
        <v>28</v>
      </c>
      <c r="G31" s="265" t="s">
        <v>69</v>
      </c>
      <c r="H31" s="265"/>
      <c r="I31" s="265"/>
      <c r="J31" s="20">
        <v>30</v>
      </c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 t="s">
        <v>69</v>
      </c>
      <c r="D32" s="280"/>
      <c r="E32" s="280"/>
      <c r="F32" s="127" t="s">
        <v>28</v>
      </c>
      <c r="G32" s="280" t="s">
        <v>74</v>
      </c>
      <c r="H32" s="280"/>
      <c r="I32" s="280"/>
      <c r="J32" s="20">
        <v>235</v>
      </c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127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65"/>
      <c r="D34" s="265"/>
      <c r="E34" s="265"/>
      <c r="F34" s="127" t="s">
        <v>28</v>
      </c>
      <c r="G34" s="280"/>
      <c r="H34" s="280"/>
      <c r="I34" s="280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127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127" t="s">
        <v>28</v>
      </c>
      <c r="G36" s="256"/>
      <c r="H36" s="256"/>
      <c r="I36" s="256"/>
      <c r="J36" s="22">
        <f>J28+J29+J30+J31+J32+J33+J35</f>
        <v>600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134"/>
      <c r="M37" s="290">
        <f>M26</f>
        <v>2220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127"/>
      <c r="I38" s="127"/>
      <c r="J38" s="25"/>
      <c r="K38" s="6"/>
      <c r="L38" s="129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129" t="s">
        <v>32</v>
      </c>
      <c r="M40" s="286">
        <f>J36*J37</f>
        <v>582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129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129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134"/>
      <c r="F43" s="297">
        <v>1577.4</v>
      </c>
      <c r="G43" s="298"/>
      <c r="H43" s="129"/>
      <c r="I43" s="129"/>
      <c r="J43" s="129"/>
      <c r="K43" s="6" t="s">
        <v>43</v>
      </c>
      <c r="L43" s="134"/>
      <c r="M43" s="266">
        <f>SUM(M37+M39+M40)+M41+M42</f>
        <v>2802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134"/>
      <c r="F44" s="299">
        <f>310+37</f>
        <v>347</v>
      </c>
      <c r="G44" s="300"/>
      <c r="H44" s="129"/>
      <c r="I44" s="129"/>
      <c r="J44" s="129"/>
      <c r="K44" s="6" t="s">
        <v>45</v>
      </c>
      <c r="L44" s="134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134"/>
      <c r="F45" s="301">
        <f>F43+F44</f>
        <v>1924.4</v>
      </c>
      <c r="G45" s="302"/>
      <c r="H45" s="129"/>
      <c r="I45" s="129"/>
      <c r="J45" s="129"/>
      <c r="K45" s="6"/>
      <c r="L45" s="134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134"/>
      <c r="F46" s="299">
        <v>120.17</v>
      </c>
      <c r="G46" s="300"/>
      <c r="H46" s="129"/>
      <c r="I46" s="129"/>
      <c r="J46" s="129"/>
      <c r="K46" s="6"/>
      <c r="L46" s="134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134"/>
      <c r="F47" s="301">
        <f>F45+F46</f>
        <v>2044.5700000000002</v>
      </c>
      <c r="G47" s="302"/>
      <c r="H47" s="129"/>
      <c r="I47" s="129"/>
      <c r="J47" s="129"/>
      <c r="K47" s="6"/>
      <c r="L47" s="134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134"/>
      <c r="F48" s="297">
        <f>387.44+369.99</f>
        <v>757.43000000000006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134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134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134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134"/>
      <c r="F52" s="299">
        <f>SUM(F47:G51)</f>
        <v>2802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134"/>
      <c r="F53" s="303">
        <f>+M43-F52</f>
        <v>0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2802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127"/>
      <c r="C56" s="127"/>
      <c r="D56" s="127"/>
      <c r="E56" s="127"/>
      <c r="F56" s="127"/>
      <c r="G56" s="127"/>
      <c r="H56" s="6"/>
      <c r="I56" s="127"/>
      <c r="J56" s="127"/>
      <c r="K56" s="127"/>
      <c r="L56" s="127"/>
      <c r="M56" s="127"/>
      <c r="N56" s="128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110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111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 t="s">
        <v>154</v>
      </c>
      <c r="M63" s="52">
        <v>13585</v>
      </c>
      <c r="N63" s="53">
        <v>42411</v>
      </c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M41:N41"/>
    <mergeCell ref="M42:N42"/>
    <mergeCell ref="F43:G43"/>
    <mergeCell ref="M43:N43"/>
    <mergeCell ref="M40:N4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V75"/>
  <sheetViews>
    <sheetView topLeftCell="A4" zoomScaleNormal="100" workbookViewId="0">
      <selection activeCell="B13" sqref="B13:N14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16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35"/>
      <c r="M4" s="135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135" t="s">
        <v>2</v>
      </c>
      <c r="M5" s="135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11</v>
      </c>
      <c r="K8" s="127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2775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133"/>
      <c r="B11" s="268">
        <f>$M$9</f>
        <v>2775</v>
      </c>
      <c r="C11" s="268"/>
      <c r="D11" s="269" t="s">
        <v>109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130" t="s">
        <v>114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2"/>
    </row>
    <row r="14" spans="1:20">
      <c r="A14" s="5"/>
      <c r="B14" s="271" t="s">
        <v>115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2"/>
    </row>
    <row r="17" spans="1:22">
      <c r="A17" s="5"/>
      <c r="B17" s="6" t="s">
        <v>11</v>
      </c>
      <c r="C17" s="6"/>
      <c r="D17" s="6"/>
      <c r="E17" s="14">
        <v>15</v>
      </c>
      <c r="F17" s="127" t="s">
        <v>5</v>
      </c>
      <c r="G17" s="265" t="s">
        <v>68</v>
      </c>
      <c r="H17" s="265"/>
      <c r="I17" s="127" t="s">
        <v>12</v>
      </c>
      <c r="J17" s="14">
        <v>17</v>
      </c>
      <c r="K17" s="127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127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2</v>
      </c>
      <c r="E25" s="127" t="s">
        <v>28</v>
      </c>
      <c r="F25" s="286">
        <v>1110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127" t="s">
        <v>28</v>
      </c>
      <c r="F26" s="286">
        <v>555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2775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74</v>
      </c>
      <c r="D28" s="265"/>
      <c r="E28" s="265"/>
      <c r="F28" s="127" t="s">
        <v>28</v>
      </c>
      <c r="G28" s="265" t="s">
        <v>60</v>
      </c>
      <c r="H28" s="265"/>
      <c r="I28" s="265"/>
      <c r="J28" s="18"/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60</v>
      </c>
      <c r="D29" s="265"/>
      <c r="E29" s="265"/>
      <c r="F29" s="127" t="s">
        <v>28</v>
      </c>
      <c r="G29" s="265" t="s">
        <v>69</v>
      </c>
      <c r="H29" s="265"/>
      <c r="I29" s="265"/>
      <c r="J29" s="18"/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 t="s">
        <v>69</v>
      </c>
      <c r="D30" s="265"/>
      <c r="E30" s="265"/>
      <c r="F30" s="127" t="s">
        <v>28</v>
      </c>
      <c r="G30" s="265" t="s">
        <v>60</v>
      </c>
      <c r="H30" s="265"/>
      <c r="I30" s="265"/>
      <c r="J30" s="20"/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 t="s">
        <v>60</v>
      </c>
      <c r="D31" s="265"/>
      <c r="E31" s="265"/>
      <c r="F31" s="127" t="s">
        <v>28</v>
      </c>
      <c r="G31" s="265" t="s">
        <v>74</v>
      </c>
      <c r="H31" s="265"/>
      <c r="I31" s="265"/>
      <c r="J31" s="20"/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127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127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80"/>
      <c r="D34" s="280"/>
      <c r="E34" s="280"/>
      <c r="F34" s="127" t="s">
        <v>28</v>
      </c>
      <c r="G34" s="265"/>
      <c r="H34" s="265"/>
      <c r="I34" s="265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127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127"/>
      <c r="G36" s="256"/>
      <c r="H36" s="256"/>
      <c r="I36" s="256"/>
      <c r="J36" s="22">
        <f>J28+J29+J30+J31+J32+J33+J34+J35</f>
        <v>0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134"/>
      <c r="M37" s="290">
        <f>M26</f>
        <v>2775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127"/>
      <c r="I38" s="127"/>
      <c r="J38" s="25"/>
      <c r="K38" s="6"/>
      <c r="L38" s="129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129" t="s">
        <v>32</v>
      </c>
      <c r="M40" s="286">
        <f>J36*J37</f>
        <v>0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129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129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134"/>
      <c r="F43" s="297">
        <v>0</v>
      </c>
      <c r="G43" s="298"/>
      <c r="H43" s="129"/>
      <c r="I43" s="129"/>
      <c r="J43" s="129"/>
      <c r="K43" s="6" t="s">
        <v>43</v>
      </c>
      <c r="L43" s="134"/>
      <c r="M43" s="266">
        <f>SUM(M37+M39+M40)+M41+M42</f>
        <v>2775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134"/>
      <c r="F44" s="299">
        <v>0</v>
      </c>
      <c r="G44" s="300"/>
      <c r="H44" s="129"/>
      <c r="I44" s="129"/>
      <c r="J44" s="129"/>
      <c r="K44" s="6" t="s">
        <v>45</v>
      </c>
      <c r="L44" s="134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134"/>
      <c r="F45" s="301">
        <f>F43+F44</f>
        <v>0</v>
      </c>
      <c r="G45" s="302"/>
      <c r="H45" s="129"/>
      <c r="I45" s="129"/>
      <c r="J45" s="129"/>
      <c r="K45" s="6"/>
      <c r="L45" s="134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134"/>
      <c r="F46" s="299">
        <v>0</v>
      </c>
      <c r="G46" s="300"/>
      <c r="H46" s="129"/>
      <c r="I46" s="129"/>
      <c r="J46" s="129"/>
      <c r="K46" s="6"/>
      <c r="L46" s="134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134"/>
      <c r="F47" s="301">
        <f>F45+F46</f>
        <v>0</v>
      </c>
      <c r="G47" s="302"/>
      <c r="H47" s="129"/>
      <c r="I47" s="129"/>
      <c r="J47" s="129"/>
      <c r="K47" s="6"/>
      <c r="L47" s="134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134"/>
      <c r="F48" s="297">
        <v>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134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134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134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134"/>
      <c r="F52" s="299">
        <f>SUM(F47:G51)</f>
        <v>0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134"/>
      <c r="F53" s="303">
        <v>0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0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127"/>
      <c r="C56" s="127"/>
      <c r="D56" s="127"/>
      <c r="E56" s="127"/>
      <c r="F56" s="127"/>
      <c r="G56" s="127"/>
      <c r="H56" s="6"/>
      <c r="I56" s="127"/>
      <c r="J56" s="127"/>
      <c r="K56" s="127"/>
      <c r="L56" s="127"/>
      <c r="M56" s="127"/>
      <c r="N56" s="128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117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118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/>
      <c r="M63" s="52"/>
      <c r="N63" s="53"/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M41:N41"/>
    <mergeCell ref="M42:N42"/>
    <mergeCell ref="F43:G43"/>
    <mergeCell ref="M43:N43"/>
    <mergeCell ref="M40:N4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V75"/>
  <sheetViews>
    <sheetView topLeftCell="A4" zoomScaleNormal="100" workbookViewId="0">
      <selection activeCell="B13" sqref="B13:N14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15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35"/>
      <c r="M4" s="135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135" t="s">
        <v>2</v>
      </c>
      <c r="M5" s="135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11</v>
      </c>
      <c r="K8" s="127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5986.5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133"/>
      <c r="B11" s="268">
        <f>$M$9</f>
        <v>5986.5</v>
      </c>
      <c r="C11" s="268"/>
      <c r="D11" s="269" t="s">
        <v>116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130" t="s">
        <v>114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2"/>
    </row>
    <row r="14" spans="1:20">
      <c r="A14" s="5"/>
      <c r="B14" s="271" t="s">
        <v>115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2"/>
    </row>
    <row r="17" spans="1:22">
      <c r="A17" s="5"/>
      <c r="B17" s="6" t="s">
        <v>11</v>
      </c>
      <c r="C17" s="6"/>
      <c r="D17" s="6"/>
      <c r="E17" s="14">
        <v>15</v>
      </c>
      <c r="F17" s="127" t="s">
        <v>5</v>
      </c>
      <c r="G17" s="265" t="s">
        <v>68</v>
      </c>
      <c r="H17" s="265"/>
      <c r="I17" s="127" t="s">
        <v>12</v>
      </c>
      <c r="J17" s="14">
        <v>17</v>
      </c>
      <c r="K17" s="127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127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2</v>
      </c>
      <c r="E25" s="127" t="s">
        <v>28</v>
      </c>
      <c r="F25" s="286">
        <v>2220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127" t="s">
        <v>28</v>
      </c>
      <c r="F26" s="286">
        <v>1110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5550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74</v>
      </c>
      <c r="D28" s="265"/>
      <c r="E28" s="265"/>
      <c r="F28" s="127" t="s">
        <v>28</v>
      </c>
      <c r="G28" s="265" t="s">
        <v>60</v>
      </c>
      <c r="H28" s="265"/>
      <c r="I28" s="265"/>
      <c r="J28" s="18">
        <v>195</v>
      </c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60</v>
      </c>
      <c r="D29" s="265"/>
      <c r="E29" s="265"/>
      <c r="F29" s="127" t="s">
        <v>28</v>
      </c>
      <c r="G29" s="265" t="s">
        <v>69</v>
      </c>
      <c r="H29" s="265"/>
      <c r="I29" s="265"/>
      <c r="J29" s="18">
        <v>30</v>
      </c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 t="s">
        <v>69</v>
      </c>
      <c r="D30" s="265"/>
      <c r="E30" s="265"/>
      <c r="F30" s="127" t="s">
        <v>28</v>
      </c>
      <c r="G30" s="265" t="s">
        <v>60</v>
      </c>
      <c r="H30" s="265"/>
      <c r="I30" s="265"/>
      <c r="J30" s="20">
        <v>30</v>
      </c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 t="s">
        <v>60</v>
      </c>
      <c r="D31" s="265"/>
      <c r="E31" s="265"/>
      <c r="F31" s="127" t="s">
        <v>28</v>
      </c>
      <c r="G31" s="265" t="s">
        <v>74</v>
      </c>
      <c r="H31" s="265"/>
      <c r="I31" s="265"/>
      <c r="J31" s="20">
        <v>195</v>
      </c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127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127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65"/>
      <c r="D34" s="265"/>
      <c r="E34" s="265"/>
      <c r="F34" s="127" t="s">
        <v>28</v>
      </c>
      <c r="G34" s="280"/>
      <c r="H34" s="280"/>
      <c r="I34" s="280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127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127" t="s">
        <v>28</v>
      </c>
      <c r="G36" s="256"/>
      <c r="H36" s="256"/>
      <c r="I36" s="256"/>
      <c r="J36" s="22">
        <f>J28+J29+J30+J31+J32+J33+J35</f>
        <v>450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134"/>
      <c r="M37" s="290">
        <f>M26</f>
        <v>5550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127"/>
      <c r="I38" s="127"/>
      <c r="J38" s="25"/>
      <c r="K38" s="6"/>
      <c r="L38" s="129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129" t="s">
        <v>32</v>
      </c>
      <c r="M40" s="286">
        <f>J36*J37</f>
        <v>436.5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129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129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134"/>
      <c r="F43" s="297">
        <v>0</v>
      </c>
      <c r="G43" s="298"/>
      <c r="H43" s="129"/>
      <c r="I43" s="129"/>
      <c r="J43" s="129"/>
      <c r="K43" s="6" t="s">
        <v>43</v>
      </c>
      <c r="L43" s="134"/>
      <c r="M43" s="266">
        <f>SUM(M37+M39+M40)+M41+M42</f>
        <v>5986.5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134"/>
      <c r="F44" s="299">
        <v>0</v>
      </c>
      <c r="G44" s="300"/>
      <c r="H44" s="129"/>
      <c r="I44" s="129"/>
      <c r="J44" s="129"/>
      <c r="K44" s="6" t="s">
        <v>45</v>
      </c>
      <c r="L44" s="134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134"/>
      <c r="F45" s="301">
        <f>F43+F44</f>
        <v>0</v>
      </c>
      <c r="G45" s="302"/>
      <c r="H45" s="129"/>
      <c r="I45" s="129"/>
      <c r="J45" s="129"/>
      <c r="K45" s="6"/>
      <c r="L45" s="134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134"/>
      <c r="F46" s="299">
        <v>0</v>
      </c>
      <c r="G46" s="300"/>
      <c r="H46" s="129"/>
      <c r="I46" s="129"/>
      <c r="J46" s="129"/>
      <c r="K46" s="6"/>
      <c r="L46" s="134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134"/>
      <c r="F47" s="301">
        <f>F45+F46</f>
        <v>0</v>
      </c>
      <c r="G47" s="302"/>
      <c r="H47" s="129"/>
      <c r="I47" s="129"/>
      <c r="J47" s="129"/>
      <c r="K47" s="6"/>
      <c r="L47" s="134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134"/>
      <c r="F48" s="297">
        <v>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134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134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134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134"/>
      <c r="F52" s="299">
        <f>SUM(F47:G51)</f>
        <v>0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134"/>
      <c r="F53" s="303">
        <v>0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0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127"/>
      <c r="C56" s="127"/>
      <c r="D56" s="127"/>
      <c r="E56" s="127"/>
      <c r="F56" s="127"/>
      <c r="G56" s="127"/>
      <c r="H56" s="6"/>
      <c r="I56" s="127"/>
      <c r="J56" s="127"/>
      <c r="K56" s="127"/>
      <c r="L56" s="127"/>
      <c r="M56" s="127"/>
      <c r="N56" s="128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90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91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/>
      <c r="M63" s="52"/>
      <c r="N63" s="53"/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M41:N41"/>
    <mergeCell ref="M42:N42"/>
    <mergeCell ref="F43:G43"/>
    <mergeCell ref="M43:N43"/>
    <mergeCell ref="M40:N4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V75"/>
  <sheetViews>
    <sheetView topLeftCell="A40" zoomScaleNormal="100" workbookViewId="0">
      <selection activeCell="F48" sqref="F48:G48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14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26"/>
      <c r="M4" s="126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126" t="s">
        <v>2</v>
      </c>
      <c r="M5" s="126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11</v>
      </c>
      <c r="K8" s="118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1735.6999999999998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124"/>
      <c r="B11" s="268">
        <f>$M$9</f>
        <v>1735.6999999999998</v>
      </c>
      <c r="C11" s="268"/>
      <c r="D11" s="269" t="s">
        <v>113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121" t="s">
        <v>112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"/>
    </row>
    <row r="14" spans="1:20">
      <c r="A14" s="5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3"/>
    </row>
    <row r="17" spans="1:22">
      <c r="A17" s="5"/>
      <c r="B17" s="6" t="s">
        <v>11</v>
      </c>
      <c r="C17" s="6"/>
      <c r="D17" s="6"/>
      <c r="E17" s="14">
        <v>12</v>
      </c>
      <c r="F17" s="118" t="s">
        <v>5</v>
      </c>
      <c r="G17" s="265" t="s">
        <v>68</v>
      </c>
      <c r="H17" s="265"/>
      <c r="I17" s="118" t="s">
        <v>12</v>
      </c>
      <c r="J17" s="14">
        <v>12</v>
      </c>
      <c r="K17" s="118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118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0</v>
      </c>
      <c r="E25" s="118" t="s">
        <v>28</v>
      </c>
      <c r="F25" s="286">
        <v>1387.5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118" t="s">
        <v>28</v>
      </c>
      <c r="F26" s="286">
        <v>832.5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832.5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74</v>
      </c>
      <c r="D28" s="265"/>
      <c r="E28" s="265"/>
      <c r="F28" s="118" t="s">
        <v>28</v>
      </c>
      <c r="G28" s="265" t="s">
        <v>82</v>
      </c>
      <c r="H28" s="265"/>
      <c r="I28" s="265"/>
      <c r="J28" s="18">
        <v>280</v>
      </c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82</v>
      </c>
      <c r="D29" s="265"/>
      <c r="E29" s="265"/>
      <c r="F29" s="118" t="s">
        <v>28</v>
      </c>
      <c r="G29" s="265" t="s">
        <v>74</v>
      </c>
      <c r="H29" s="265"/>
      <c r="I29" s="265"/>
      <c r="J29" s="18">
        <v>280</v>
      </c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/>
      <c r="D30" s="265"/>
      <c r="E30" s="265"/>
      <c r="F30" s="118" t="s">
        <v>28</v>
      </c>
      <c r="G30" s="265"/>
      <c r="H30" s="265"/>
      <c r="I30" s="265"/>
      <c r="J30" s="20"/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/>
      <c r="D31" s="265"/>
      <c r="E31" s="265"/>
      <c r="F31" s="118" t="s">
        <v>28</v>
      </c>
      <c r="G31" s="265"/>
      <c r="H31" s="265"/>
      <c r="I31" s="265"/>
      <c r="J31" s="20"/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118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118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65"/>
      <c r="D34" s="265"/>
      <c r="E34" s="265"/>
      <c r="F34" s="118" t="s">
        <v>28</v>
      </c>
      <c r="G34" s="280"/>
      <c r="H34" s="280"/>
      <c r="I34" s="280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118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118" t="s">
        <v>28</v>
      </c>
      <c r="G36" s="256"/>
      <c r="H36" s="256"/>
      <c r="I36" s="256"/>
      <c r="J36" s="22">
        <f>J28+J29+J30+J31+J32+J33+J35</f>
        <v>560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125"/>
      <c r="M37" s="290">
        <f>M26</f>
        <v>832.5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118"/>
      <c r="I38" s="118"/>
      <c r="J38" s="25"/>
      <c r="K38" s="6"/>
      <c r="L38" s="120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360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120" t="s">
        <v>32</v>
      </c>
      <c r="M40" s="286">
        <f>J36*J37</f>
        <v>543.19999999999993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120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120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125"/>
      <c r="F43" s="297">
        <v>0</v>
      </c>
      <c r="G43" s="298"/>
      <c r="H43" s="120"/>
      <c r="I43" s="120"/>
      <c r="J43" s="120"/>
      <c r="K43" s="6" t="s">
        <v>43</v>
      </c>
      <c r="L43" s="125"/>
      <c r="M43" s="266">
        <f>SUM(M37+M39+M40)+M41+M42</f>
        <v>1735.6999999999998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125"/>
      <c r="F44" s="299">
        <f>76+531</f>
        <v>607</v>
      </c>
      <c r="G44" s="300"/>
      <c r="H44" s="120"/>
      <c r="I44" s="120"/>
      <c r="J44" s="120"/>
      <c r="K44" s="6" t="s">
        <v>45</v>
      </c>
      <c r="L44" s="125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125"/>
      <c r="F45" s="301">
        <f>F43+F44</f>
        <v>607</v>
      </c>
      <c r="G45" s="302"/>
      <c r="H45" s="120"/>
      <c r="I45" s="120"/>
      <c r="J45" s="120"/>
      <c r="K45" s="6"/>
      <c r="L45" s="125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125"/>
      <c r="F46" s="299">
        <v>0</v>
      </c>
      <c r="G46" s="300"/>
      <c r="H46" s="120"/>
      <c r="I46" s="120"/>
      <c r="J46" s="120"/>
      <c r="K46" s="6"/>
      <c r="L46" s="125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125"/>
      <c r="F47" s="301">
        <f>F45+F46</f>
        <v>607</v>
      </c>
      <c r="G47" s="302"/>
      <c r="H47" s="120"/>
      <c r="I47" s="120"/>
      <c r="J47" s="120"/>
      <c r="K47" s="6"/>
      <c r="L47" s="125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125"/>
      <c r="F48" s="297">
        <v>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125"/>
      <c r="F49" s="299">
        <f>65+115+65+115</f>
        <v>360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125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125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125"/>
      <c r="F52" s="299">
        <f>SUM(F47:G51)</f>
        <v>967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125"/>
      <c r="F53" s="303">
        <f>+M43-F52</f>
        <v>768.69999999999982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1735.6999999999998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118"/>
      <c r="C56" s="118"/>
      <c r="D56" s="118"/>
      <c r="E56" s="118"/>
      <c r="F56" s="118"/>
      <c r="G56" s="118"/>
      <c r="H56" s="6"/>
      <c r="I56" s="118"/>
      <c r="J56" s="118"/>
      <c r="K56" s="118"/>
      <c r="L56" s="118"/>
      <c r="M56" s="118"/>
      <c r="N56" s="119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110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111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 t="s">
        <v>154</v>
      </c>
      <c r="M63" s="52">
        <v>13577</v>
      </c>
      <c r="N63" s="53">
        <v>42411</v>
      </c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V75"/>
  <sheetViews>
    <sheetView topLeftCell="A7" zoomScaleNormal="100" workbookViewId="0">
      <selection activeCell="D12" sqref="D1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12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17"/>
      <c r="M4" s="117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117" t="s">
        <v>2</v>
      </c>
      <c r="M5" s="117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10</v>
      </c>
      <c r="K8" s="109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6305.63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115"/>
      <c r="B11" s="268">
        <f>$M$9</f>
        <v>6305.63</v>
      </c>
      <c r="C11" s="268"/>
      <c r="D11" s="269" t="s">
        <v>108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112" t="s">
        <v>106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2"/>
    </row>
    <row r="14" spans="1:20">
      <c r="A14" s="5"/>
      <c r="B14" s="271" t="s">
        <v>107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4"/>
    </row>
    <row r="17" spans="1:22">
      <c r="A17" s="5"/>
      <c r="B17" s="6" t="s">
        <v>11</v>
      </c>
      <c r="C17" s="6"/>
      <c r="D17" s="6"/>
      <c r="E17" s="14">
        <v>15</v>
      </c>
      <c r="F17" s="109" t="s">
        <v>5</v>
      </c>
      <c r="G17" s="265" t="s">
        <v>68</v>
      </c>
      <c r="H17" s="265"/>
      <c r="I17" s="109" t="s">
        <v>12</v>
      </c>
      <c r="J17" s="14">
        <v>17</v>
      </c>
      <c r="K17" s="109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109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2</v>
      </c>
      <c r="E25" s="109" t="s">
        <v>28</v>
      </c>
      <c r="F25" s="286">
        <v>2220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109" t="s">
        <v>28</v>
      </c>
      <c r="F26" s="286">
        <v>1110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5550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59</v>
      </c>
      <c r="D28" s="265"/>
      <c r="E28" s="265"/>
      <c r="F28" s="109" t="s">
        <v>28</v>
      </c>
      <c r="G28" s="265" t="s">
        <v>60</v>
      </c>
      <c r="H28" s="265"/>
      <c r="I28" s="265"/>
      <c r="J28" s="18">
        <v>208</v>
      </c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60</v>
      </c>
      <c r="D29" s="265"/>
      <c r="E29" s="265"/>
      <c r="F29" s="109" t="s">
        <v>28</v>
      </c>
      <c r="G29" s="265" t="s">
        <v>69</v>
      </c>
      <c r="H29" s="265"/>
      <c r="I29" s="265"/>
      <c r="J29" s="18">
        <v>30</v>
      </c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 t="s">
        <v>69</v>
      </c>
      <c r="D30" s="265"/>
      <c r="E30" s="265"/>
      <c r="F30" s="109" t="s">
        <v>28</v>
      </c>
      <c r="G30" s="265" t="s">
        <v>103</v>
      </c>
      <c r="H30" s="265"/>
      <c r="I30" s="265"/>
      <c r="J30" s="20">
        <v>45</v>
      </c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 t="s">
        <v>103</v>
      </c>
      <c r="D31" s="265"/>
      <c r="E31" s="265"/>
      <c r="F31" s="109" t="s">
        <v>28</v>
      </c>
      <c r="G31" s="265" t="s">
        <v>104</v>
      </c>
      <c r="H31" s="265"/>
      <c r="I31" s="265"/>
      <c r="J31" s="20">
        <v>115</v>
      </c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 t="s">
        <v>104</v>
      </c>
      <c r="D32" s="280"/>
      <c r="E32" s="280"/>
      <c r="F32" s="109" t="s">
        <v>28</v>
      </c>
      <c r="G32" s="280" t="s">
        <v>105</v>
      </c>
      <c r="H32" s="280"/>
      <c r="I32" s="280"/>
      <c r="J32" s="20">
        <v>138</v>
      </c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 t="s">
        <v>105</v>
      </c>
      <c r="D33" s="280"/>
      <c r="E33" s="280"/>
      <c r="F33" s="109" t="s">
        <v>28</v>
      </c>
      <c r="G33" s="265" t="s">
        <v>59</v>
      </c>
      <c r="H33" s="265"/>
      <c r="I33" s="265"/>
      <c r="J33" s="20">
        <v>243</v>
      </c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80"/>
      <c r="D34" s="280"/>
      <c r="E34" s="280"/>
      <c r="F34" s="109" t="s">
        <v>28</v>
      </c>
      <c r="G34" s="265"/>
      <c r="H34" s="265"/>
      <c r="I34" s="265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65"/>
      <c r="D35" s="265"/>
      <c r="E35" s="265"/>
      <c r="F35" s="109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109"/>
      <c r="G36" s="256"/>
      <c r="H36" s="256"/>
      <c r="I36" s="256"/>
      <c r="J36" s="22">
        <f>J28+J29+J30+J31+J32+J33+J34+J35</f>
        <v>779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116"/>
      <c r="M37" s="290">
        <f>M26</f>
        <v>5550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109"/>
      <c r="I38" s="109"/>
      <c r="J38" s="25"/>
      <c r="K38" s="6"/>
      <c r="L38" s="111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111" t="s">
        <v>32</v>
      </c>
      <c r="M40" s="286">
        <f>J36*J37</f>
        <v>755.63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111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111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116"/>
      <c r="F43" s="297">
        <v>0</v>
      </c>
      <c r="G43" s="298"/>
      <c r="H43" s="111"/>
      <c r="I43" s="111"/>
      <c r="J43" s="111"/>
      <c r="K43" s="6" t="s">
        <v>43</v>
      </c>
      <c r="L43" s="116"/>
      <c r="M43" s="266">
        <f>SUM(M37+M39+M40)+M41+M42</f>
        <v>6305.63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116"/>
      <c r="F44" s="299">
        <v>0</v>
      </c>
      <c r="G44" s="300"/>
      <c r="H44" s="111"/>
      <c r="I44" s="111"/>
      <c r="J44" s="111"/>
      <c r="K44" s="6" t="s">
        <v>45</v>
      </c>
      <c r="L44" s="116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116"/>
      <c r="F45" s="301">
        <f>F43+F44</f>
        <v>0</v>
      </c>
      <c r="G45" s="302"/>
      <c r="H45" s="111"/>
      <c r="I45" s="111"/>
      <c r="J45" s="111"/>
      <c r="K45" s="6"/>
      <c r="L45" s="116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116"/>
      <c r="F46" s="299">
        <v>0</v>
      </c>
      <c r="G46" s="300"/>
      <c r="H46" s="111"/>
      <c r="I46" s="111"/>
      <c r="J46" s="111"/>
      <c r="K46" s="6"/>
      <c r="L46" s="116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116"/>
      <c r="F47" s="301">
        <f>F45+F46</f>
        <v>0</v>
      </c>
      <c r="G47" s="302"/>
      <c r="H47" s="111"/>
      <c r="I47" s="111"/>
      <c r="J47" s="111"/>
      <c r="K47" s="6"/>
      <c r="L47" s="116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116"/>
      <c r="F48" s="297">
        <v>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116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116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116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116"/>
      <c r="F52" s="299">
        <f>SUM(F47:G51)</f>
        <v>0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116"/>
      <c r="F53" s="303">
        <v>0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0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109"/>
      <c r="C56" s="109"/>
      <c r="D56" s="109"/>
      <c r="E56" s="109"/>
      <c r="F56" s="109"/>
      <c r="G56" s="109"/>
      <c r="H56" s="6"/>
      <c r="I56" s="109"/>
      <c r="J56" s="109"/>
      <c r="K56" s="109"/>
      <c r="L56" s="109"/>
      <c r="M56" s="109"/>
      <c r="N56" s="110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101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102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/>
      <c r="M63" s="52"/>
      <c r="N63" s="53"/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V75"/>
  <sheetViews>
    <sheetView topLeftCell="A4" zoomScaleNormal="100" workbookViewId="0">
      <selection activeCell="G28" sqref="G28:I31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11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08"/>
      <c r="M4" s="108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108" t="s">
        <v>2</v>
      </c>
      <c r="M5" s="108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10</v>
      </c>
      <c r="K8" s="100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2681.72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106"/>
      <c r="B11" s="268">
        <f>$M$9</f>
        <v>2681.72</v>
      </c>
      <c r="C11" s="268"/>
      <c r="D11" s="269" t="s">
        <v>100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103" t="s">
        <v>98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2"/>
    </row>
    <row r="14" spans="1:20">
      <c r="A14" s="5"/>
      <c r="B14" s="271" t="s">
        <v>99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5"/>
    </row>
    <row r="17" spans="1:22">
      <c r="A17" s="5"/>
      <c r="B17" s="6" t="s">
        <v>11</v>
      </c>
      <c r="C17" s="6"/>
      <c r="D17" s="6"/>
      <c r="E17" s="14">
        <v>15</v>
      </c>
      <c r="F17" s="100" t="s">
        <v>5</v>
      </c>
      <c r="G17" s="265" t="s">
        <v>68</v>
      </c>
      <c r="H17" s="265"/>
      <c r="I17" s="100" t="s">
        <v>12</v>
      </c>
      <c r="J17" s="14">
        <v>16</v>
      </c>
      <c r="K17" s="100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100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1</v>
      </c>
      <c r="E25" s="100" t="s">
        <v>28</v>
      </c>
      <c r="F25" s="286">
        <v>1387.5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100" t="s">
        <v>28</v>
      </c>
      <c r="F26" s="286">
        <v>832.5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2220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59</v>
      </c>
      <c r="D28" s="265"/>
      <c r="E28" s="265"/>
      <c r="F28" s="100" t="s">
        <v>28</v>
      </c>
      <c r="G28" s="265" t="s">
        <v>60</v>
      </c>
      <c r="H28" s="265"/>
      <c r="I28" s="265"/>
      <c r="J28" s="18">
        <v>208</v>
      </c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60</v>
      </c>
      <c r="D29" s="265"/>
      <c r="E29" s="265"/>
      <c r="F29" s="100" t="s">
        <v>28</v>
      </c>
      <c r="G29" s="265" t="s">
        <v>69</v>
      </c>
      <c r="H29" s="265"/>
      <c r="I29" s="265"/>
      <c r="J29" s="18">
        <v>30</v>
      </c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 t="s">
        <v>69</v>
      </c>
      <c r="D30" s="265"/>
      <c r="E30" s="265"/>
      <c r="F30" s="100" t="s">
        <v>28</v>
      </c>
      <c r="G30" s="265" t="s">
        <v>60</v>
      </c>
      <c r="H30" s="265"/>
      <c r="I30" s="265"/>
      <c r="J30" s="20">
        <v>30</v>
      </c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 t="s">
        <v>60</v>
      </c>
      <c r="D31" s="265"/>
      <c r="E31" s="265"/>
      <c r="F31" s="100" t="s">
        <v>28</v>
      </c>
      <c r="G31" s="265" t="s">
        <v>59</v>
      </c>
      <c r="H31" s="265"/>
      <c r="I31" s="265"/>
      <c r="J31" s="20">
        <v>208</v>
      </c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100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100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80"/>
      <c r="D34" s="280"/>
      <c r="E34" s="280"/>
      <c r="F34" s="100" t="s">
        <v>28</v>
      </c>
      <c r="G34" s="265"/>
      <c r="H34" s="265"/>
      <c r="I34" s="265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100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100"/>
      <c r="G36" s="256"/>
      <c r="H36" s="256"/>
      <c r="I36" s="256"/>
      <c r="J36" s="22">
        <f>J28+J29+J30+J31+J32+J33+J34+J35</f>
        <v>476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107"/>
      <c r="M37" s="290">
        <f>M26</f>
        <v>2220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100"/>
      <c r="I38" s="100"/>
      <c r="J38" s="25"/>
      <c r="K38" s="6"/>
      <c r="L38" s="102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102" t="s">
        <v>32</v>
      </c>
      <c r="M40" s="286">
        <f>J36*J37</f>
        <v>461.71999999999997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102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102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107"/>
      <c r="F43" s="297">
        <v>0</v>
      </c>
      <c r="G43" s="298"/>
      <c r="H43" s="102"/>
      <c r="I43" s="102"/>
      <c r="J43" s="102"/>
      <c r="K43" s="6" t="s">
        <v>43</v>
      </c>
      <c r="L43" s="107"/>
      <c r="M43" s="266">
        <f>SUM(M37+M39+M40)+M41+M42</f>
        <v>2681.72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107"/>
      <c r="F44" s="299">
        <v>0</v>
      </c>
      <c r="G44" s="300"/>
      <c r="H44" s="102"/>
      <c r="I44" s="102"/>
      <c r="J44" s="102"/>
      <c r="K44" s="6" t="s">
        <v>45</v>
      </c>
      <c r="L44" s="107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107"/>
      <c r="F45" s="301">
        <f>F43+F44</f>
        <v>0</v>
      </c>
      <c r="G45" s="302"/>
      <c r="H45" s="102"/>
      <c r="I45" s="102"/>
      <c r="J45" s="102"/>
      <c r="K45" s="6"/>
      <c r="L45" s="107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107"/>
      <c r="F46" s="299">
        <v>0</v>
      </c>
      <c r="G46" s="300"/>
      <c r="H46" s="102"/>
      <c r="I46" s="102"/>
      <c r="J46" s="102"/>
      <c r="K46" s="6"/>
      <c r="L46" s="107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107"/>
      <c r="F47" s="301">
        <f>F45+F46</f>
        <v>0</v>
      </c>
      <c r="G47" s="302"/>
      <c r="H47" s="102"/>
      <c r="I47" s="102"/>
      <c r="J47" s="102"/>
      <c r="K47" s="6"/>
      <c r="L47" s="107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107"/>
      <c r="F48" s="297">
        <v>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107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107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107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107"/>
      <c r="F52" s="299">
        <f>SUM(F47:G51)</f>
        <v>0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107"/>
      <c r="F53" s="303">
        <v>0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0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100"/>
      <c r="C56" s="100"/>
      <c r="D56" s="100"/>
      <c r="E56" s="100"/>
      <c r="F56" s="100"/>
      <c r="G56" s="100"/>
      <c r="H56" s="6"/>
      <c r="I56" s="100"/>
      <c r="J56" s="100"/>
      <c r="K56" s="100"/>
      <c r="L56" s="100"/>
      <c r="M56" s="100"/>
      <c r="N56" s="101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96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97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/>
      <c r="M63" s="52"/>
      <c r="N63" s="53"/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M41:N41"/>
    <mergeCell ref="M42:N42"/>
    <mergeCell ref="F43:G43"/>
    <mergeCell ref="M43:N43"/>
    <mergeCell ref="M40:N4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V75"/>
  <sheetViews>
    <sheetView topLeftCell="A10" zoomScaleNormal="100" workbookViewId="0">
      <selection activeCell="B14" sqref="B14:N14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56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245"/>
      <c r="M4" s="245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245" t="s">
        <v>2</v>
      </c>
      <c r="M5" s="245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26</v>
      </c>
      <c r="K8" s="237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5747.72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243"/>
      <c r="B11" s="268">
        <f>$M$9</f>
        <v>5747.72</v>
      </c>
      <c r="C11" s="268"/>
      <c r="D11" s="269" t="s">
        <v>86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240" t="s">
        <v>175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12"/>
    </row>
    <row r="14" spans="1:20">
      <c r="A14" s="5"/>
      <c r="B14" s="271" t="s">
        <v>84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2"/>
    </row>
    <row r="17" spans="1:22">
      <c r="A17" s="5"/>
      <c r="B17" s="6" t="s">
        <v>11</v>
      </c>
      <c r="C17" s="6"/>
      <c r="D17" s="6"/>
      <c r="E17" s="14">
        <v>7</v>
      </c>
      <c r="F17" s="237" t="s">
        <v>5</v>
      </c>
      <c r="G17" s="265" t="s">
        <v>162</v>
      </c>
      <c r="H17" s="265"/>
      <c r="I17" s="237" t="s">
        <v>12</v>
      </c>
      <c r="J17" s="14">
        <v>11</v>
      </c>
      <c r="K17" s="237" t="s">
        <v>13</v>
      </c>
      <c r="L17" s="265" t="s">
        <v>162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237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4</v>
      </c>
      <c r="E25" s="237" t="s">
        <v>28</v>
      </c>
      <c r="F25" s="286">
        <v>1110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237" t="s">
        <v>28</v>
      </c>
      <c r="F26" s="286">
        <v>555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4995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59</v>
      </c>
      <c r="D28" s="265"/>
      <c r="E28" s="265"/>
      <c r="F28" s="237" t="s">
        <v>28</v>
      </c>
      <c r="G28" s="265" t="s">
        <v>60</v>
      </c>
      <c r="H28" s="265"/>
      <c r="I28" s="265"/>
      <c r="J28" s="18">
        <v>208</v>
      </c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83</v>
      </c>
      <c r="D29" s="265"/>
      <c r="E29" s="265"/>
      <c r="F29" s="237" t="s">
        <v>28</v>
      </c>
      <c r="G29" s="265" t="s">
        <v>83</v>
      </c>
      <c r="H29" s="265"/>
      <c r="I29" s="265"/>
      <c r="J29" s="18">
        <v>360</v>
      </c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 t="s">
        <v>60</v>
      </c>
      <c r="D30" s="265"/>
      <c r="E30" s="265"/>
      <c r="F30" s="237" t="s">
        <v>28</v>
      </c>
      <c r="G30" s="265" t="s">
        <v>59</v>
      </c>
      <c r="H30" s="265"/>
      <c r="I30" s="265"/>
      <c r="J30" s="20">
        <v>208</v>
      </c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/>
      <c r="D31" s="265"/>
      <c r="E31" s="265"/>
      <c r="F31" s="237" t="s">
        <v>28</v>
      </c>
      <c r="G31" s="265"/>
      <c r="H31" s="265"/>
      <c r="I31" s="265"/>
      <c r="J31" s="20"/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237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237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80"/>
      <c r="D34" s="280"/>
      <c r="E34" s="280"/>
      <c r="F34" s="237" t="s">
        <v>28</v>
      </c>
      <c r="G34" s="265"/>
      <c r="H34" s="265"/>
      <c r="I34" s="265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237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237"/>
      <c r="G36" s="256"/>
      <c r="H36" s="256"/>
      <c r="I36" s="256"/>
      <c r="J36" s="22">
        <f>J28+J29+J30+J31+J32+J33+J34+J35</f>
        <v>776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244"/>
      <c r="M37" s="290">
        <f>M26</f>
        <v>4995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237"/>
      <c r="I38" s="237"/>
      <c r="J38" s="25"/>
      <c r="K38" s="6"/>
      <c r="L38" s="239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239" t="s">
        <v>32</v>
      </c>
      <c r="M40" s="286">
        <f>J36*J37</f>
        <v>752.72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239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239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244"/>
      <c r="F43" s="297">
        <v>0</v>
      </c>
      <c r="G43" s="298"/>
      <c r="H43" s="239"/>
      <c r="I43" s="239"/>
      <c r="J43" s="239"/>
      <c r="K43" s="6" t="s">
        <v>43</v>
      </c>
      <c r="L43" s="244"/>
      <c r="M43" s="266">
        <f>SUM(M37+M39+M40)+M41+M42</f>
        <v>5747.72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244"/>
      <c r="F44" s="299">
        <v>0</v>
      </c>
      <c r="G44" s="300"/>
      <c r="H44" s="239"/>
      <c r="I44" s="239"/>
      <c r="J44" s="239"/>
      <c r="K44" s="6" t="s">
        <v>45</v>
      </c>
      <c r="L44" s="244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244"/>
      <c r="F45" s="301">
        <f>F43+F44</f>
        <v>0</v>
      </c>
      <c r="G45" s="302"/>
      <c r="H45" s="239"/>
      <c r="I45" s="239"/>
      <c r="J45" s="239"/>
      <c r="K45" s="6"/>
      <c r="L45" s="244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244"/>
      <c r="F46" s="299">
        <v>0</v>
      </c>
      <c r="G46" s="300"/>
      <c r="H46" s="239"/>
      <c r="I46" s="239"/>
      <c r="J46" s="239"/>
      <c r="K46" s="6"/>
      <c r="L46" s="244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244"/>
      <c r="F47" s="301">
        <f>F45+F46</f>
        <v>0</v>
      </c>
      <c r="G47" s="302"/>
      <c r="H47" s="239"/>
      <c r="I47" s="239"/>
      <c r="J47" s="239"/>
      <c r="K47" s="6"/>
      <c r="L47" s="244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244"/>
      <c r="F48" s="297">
        <v>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244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244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244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244"/>
      <c r="F52" s="299">
        <f>SUM(F47:G51)</f>
        <v>0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244"/>
      <c r="F53" s="303">
        <v>0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0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237"/>
      <c r="C56" s="237"/>
      <c r="D56" s="237"/>
      <c r="E56" s="237"/>
      <c r="F56" s="237"/>
      <c r="G56" s="237"/>
      <c r="H56" s="6"/>
      <c r="I56" s="237"/>
      <c r="J56" s="237"/>
      <c r="K56" s="237"/>
      <c r="L56" s="237"/>
      <c r="M56" s="237"/>
      <c r="N56" s="238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65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66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/>
      <c r="M63" s="52"/>
      <c r="N63" s="53"/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V75"/>
  <sheetViews>
    <sheetView topLeftCell="A38" zoomScaleNormal="100" workbookViewId="0">
      <selection activeCell="F53" sqref="F53:G54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10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9"/>
      <c r="M4" s="99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99" t="s">
        <v>2</v>
      </c>
      <c r="M5" s="99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10</v>
      </c>
      <c r="K8" s="91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1665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97"/>
      <c r="B11" s="268">
        <f>$M$9</f>
        <v>1665</v>
      </c>
      <c r="C11" s="268"/>
      <c r="D11" s="269" t="s">
        <v>95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94" t="s">
        <v>87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12"/>
    </row>
    <row r="14" spans="1:20">
      <c r="A14" s="5"/>
      <c r="B14" s="271" t="s">
        <v>88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</row>
    <row r="17" spans="1:22">
      <c r="A17" s="5"/>
      <c r="B17" s="6" t="s">
        <v>11</v>
      </c>
      <c r="C17" s="6"/>
      <c r="D17" s="6"/>
      <c r="E17" s="14">
        <v>11</v>
      </c>
      <c r="F17" s="91" t="s">
        <v>5</v>
      </c>
      <c r="G17" s="265" t="s">
        <v>68</v>
      </c>
      <c r="H17" s="265"/>
      <c r="I17" s="91" t="s">
        <v>12</v>
      </c>
      <c r="J17" s="14">
        <v>12</v>
      </c>
      <c r="K17" s="91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91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1</v>
      </c>
      <c r="E25" s="91" t="s">
        <v>28</v>
      </c>
      <c r="F25" s="286">
        <v>1110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91" t="s">
        <v>28</v>
      </c>
      <c r="F26" s="286">
        <v>555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1665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74</v>
      </c>
      <c r="D28" s="265"/>
      <c r="E28" s="265"/>
      <c r="F28" s="91" t="s">
        <v>28</v>
      </c>
      <c r="G28" s="265" t="s">
        <v>89</v>
      </c>
      <c r="H28" s="265"/>
      <c r="I28" s="265"/>
      <c r="J28" s="18"/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89</v>
      </c>
      <c r="D29" s="265"/>
      <c r="E29" s="265"/>
      <c r="F29" s="91" t="s">
        <v>28</v>
      </c>
      <c r="G29" s="265" t="s">
        <v>74</v>
      </c>
      <c r="H29" s="265"/>
      <c r="I29" s="265"/>
      <c r="J29" s="18"/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/>
      <c r="D30" s="265"/>
      <c r="E30" s="265"/>
      <c r="F30" s="91" t="s">
        <v>28</v>
      </c>
      <c r="G30" s="265"/>
      <c r="H30" s="265"/>
      <c r="I30" s="265"/>
      <c r="J30" s="20"/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/>
      <c r="D31" s="265"/>
      <c r="E31" s="265"/>
      <c r="F31" s="91" t="s">
        <v>28</v>
      </c>
      <c r="G31" s="265"/>
      <c r="H31" s="265"/>
      <c r="I31" s="265"/>
      <c r="J31" s="20"/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91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91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80"/>
      <c r="D34" s="280"/>
      <c r="E34" s="280"/>
      <c r="F34" s="91" t="s">
        <v>28</v>
      </c>
      <c r="G34" s="265"/>
      <c r="H34" s="265"/>
      <c r="I34" s="265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91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91"/>
      <c r="G36" s="256"/>
      <c r="H36" s="256"/>
      <c r="I36" s="256"/>
      <c r="J36" s="22">
        <f>J28+J29+J30+J31+J32+J33+J34+J35</f>
        <v>0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98"/>
      <c r="M37" s="290">
        <f>M26</f>
        <v>1665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91"/>
      <c r="I38" s="91"/>
      <c r="J38" s="25"/>
      <c r="K38" s="6"/>
      <c r="L38" s="93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93" t="s">
        <v>32</v>
      </c>
      <c r="M40" s="286">
        <f>J36*J37</f>
        <v>0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93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93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98"/>
      <c r="F43" s="297">
        <v>0</v>
      </c>
      <c r="G43" s="298"/>
      <c r="H43" s="93"/>
      <c r="I43" s="93"/>
      <c r="J43" s="93"/>
      <c r="K43" s="6" t="s">
        <v>43</v>
      </c>
      <c r="L43" s="98"/>
      <c r="M43" s="266">
        <f>SUM(M37+M39+M40)+M41+M42</f>
        <v>1665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98"/>
      <c r="F44" s="299">
        <f>293+417</f>
        <v>710</v>
      </c>
      <c r="G44" s="300"/>
      <c r="H44" s="93"/>
      <c r="I44" s="93"/>
      <c r="J44" s="93"/>
      <c r="K44" s="6" t="s">
        <v>45</v>
      </c>
      <c r="L44" s="98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98"/>
      <c r="F45" s="301">
        <f>F43+F44</f>
        <v>710</v>
      </c>
      <c r="G45" s="302"/>
      <c r="H45" s="93"/>
      <c r="I45" s="93"/>
      <c r="J45" s="93"/>
      <c r="K45" s="6"/>
      <c r="L45" s="98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98"/>
      <c r="F46" s="299">
        <v>0</v>
      </c>
      <c r="G46" s="300"/>
      <c r="H46" s="93"/>
      <c r="I46" s="93"/>
      <c r="J46" s="93"/>
      <c r="K46" s="6"/>
      <c r="L46" s="98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98"/>
      <c r="F47" s="301">
        <f>F45+F46</f>
        <v>710</v>
      </c>
      <c r="G47" s="302"/>
      <c r="H47" s="93"/>
      <c r="I47" s="93"/>
      <c r="J47" s="93"/>
      <c r="K47" s="6"/>
      <c r="L47" s="98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98"/>
      <c r="F48" s="297">
        <v>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98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98" t="s">
        <v>50</v>
      </c>
      <c r="F50" s="299">
        <v>0</v>
      </c>
      <c r="G50" s="300"/>
      <c r="H50" s="6"/>
      <c r="I50" s="40" t="s">
        <v>155</v>
      </c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98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98"/>
      <c r="F52" s="299">
        <f>SUM(F47:G51)+200</f>
        <v>910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98"/>
      <c r="F53" s="303">
        <f>+M43-F52</f>
        <v>755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1665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91"/>
      <c r="C56" s="91"/>
      <c r="D56" s="91"/>
      <c r="E56" s="91"/>
      <c r="F56" s="91"/>
      <c r="G56" s="91"/>
      <c r="H56" s="6"/>
      <c r="I56" s="91"/>
      <c r="J56" s="91"/>
      <c r="K56" s="91"/>
      <c r="L56" s="91"/>
      <c r="M56" s="91"/>
      <c r="N56" s="92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93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94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 t="s">
        <v>154</v>
      </c>
      <c r="M63" s="52">
        <v>13559</v>
      </c>
      <c r="N63" s="53">
        <v>42410</v>
      </c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V75"/>
  <sheetViews>
    <sheetView topLeftCell="A37" zoomScaleNormal="100" workbookViewId="0">
      <selection activeCell="B59" sqref="B59:G59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9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0"/>
      <c r="M4" s="90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90" t="s">
        <v>2</v>
      </c>
      <c r="M5" s="90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9</v>
      </c>
      <c r="K8" s="82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4127.34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88"/>
      <c r="B11" s="268">
        <f>$M$9</f>
        <v>4127.34</v>
      </c>
      <c r="C11" s="268"/>
      <c r="D11" s="269" t="s">
        <v>92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85" t="s">
        <v>87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12"/>
    </row>
    <row r="14" spans="1:20">
      <c r="A14" s="5"/>
      <c r="B14" s="271" t="s">
        <v>88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</row>
    <row r="17" spans="1:22">
      <c r="A17" s="5"/>
      <c r="B17" s="6" t="s">
        <v>11</v>
      </c>
      <c r="C17" s="6"/>
      <c r="D17" s="6"/>
      <c r="E17" s="14">
        <v>11</v>
      </c>
      <c r="F17" s="82" t="s">
        <v>5</v>
      </c>
      <c r="G17" s="265" t="s">
        <v>68</v>
      </c>
      <c r="H17" s="265"/>
      <c r="I17" s="82" t="s">
        <v>12</v>
      </c>
      <c r="J17" s="14">
        <v>12</v>
      </c>
      <c r="K17" s="82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82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1</v>
      </c>
      <c r="E25" s="82" t="s">
        <v>28</v>
      </c>
      <c r="F25" s="286">
        <v>2220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82" t="s">
        <v>28</v>
      </c>
      <c r="F26" s="286">
        <v>1110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3330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74</v>
      </c>
      <c r="D28" s="265"/>
      <c r="E28" s="265"/>
      <c r="F28" s="82" t="s">
        <v>28</v>
      </c>
      <c r="G28" s="265" t="s">
        <v>89</v>
      </c>
      <c r="H28" s="265"/>
      <c r="I28" s="265"/>
      <c r="J28" s="18">
        <v>411</v>
      </c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89</v>
      </c>
      <c r="D29" s="265"/>
      <c r="E29" s="265"/>
      <c r="F29" s="82" t="s">
        <v>28</v>
      </c>
      <c r="G29" s="265" t="s">
        <v>74</v>
      </c>
      <c r="H29" s="265"/>
      <c r="I29" s="265"/>
      <c r="J29" s="18">
        <v>411</v>
      </c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/>
      <c r="D30" s="265"/>
      <c r="E30" s="265"/>
      <c r="F30" s="82" t="s">
        <v>28</v>
      </c>
      <c r="G30" s="265"/>
      <c r="H30" s="265"/>
      <c r="I30" s="265"/>
      <c r="J30" s="20"/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/>
      <c r="D31" s="265"/>
      <c r="E31" s="265"/>
      <c r="F31" s="82" t="s">
        <v>28</v>
      </c>
      <c r="G31" s="265"/>
      <c r="H31" s="265"/>
      <c r="I31" s="265"/>
      <c r="J31" s="20"/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82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82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65"/>
      <c r="D34" s="265"/>
      <c r="E34" s="265"/>
      <c r="F34" s="82" t="s">
        <v>28</v>
      </c>
      <c r="G34" s="280"/>
      <c r="H34" s="280"/>
      <c r="I34" s="280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82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82" t="s">
        <v>28</v>
      </c>
      <c r="G36" s="256"/>
      <c r="H36" s="256"/>
      <c r="I36" s="256"/>
      <c r="J36" s="22">
        <f>J28+J29+J30+J31+J32+J33+J35</f>
        <v>822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89"/>
      <c r="M37" s="290">
        <f>M26</f>
        <v>3330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82"/>
      <c r="I38" s="82"/>
      <c r="J38" s="25"/>
      <c r="K38" s="6"/>
      <c r="L38" s="84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84" t="s">
        <v>32</v>
      </c>
      <c r="M40" s="286">
        <f>J36*J37</f>
        <v>797.34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84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84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89"/>
      <c r="F43" s="297">
        <v>1808.08</v>
      </c>
      <c r="G43" s="298"/>
      <c r="H43" s="84"/>
      <c r="I43" s="84"/>
      <c r="J43" s="84"/>
      <c r="K43" s="6" t="s">
        <v>43</v>
      </c>
      <c r="L43" s="89"/>
      <c r="M43" s="266">
        <f>SUM(M37+M39+M40)+M41+M42</f>
        <v>4127.34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89"/>
      <c r="F44" s="299">
        <v>737.01</v>
      </c>
      <c r="G44" s="300"/>
      <c r="H44" s="84"/>
      <c r="I44" s="84"/>
      <c r="J44" s="84"/>
      <c r="K44" s="6" t="s">
        <v>45</v>
      </c>
      <c r="L44" s="89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89"/>
      <c r="F45" s="301">
        <f>F43+F44</f>
        <v>2545.09</v>
      </c>
      <c r="G45" s="302"/>
      <c r="H45" s="84"/>
      <c r="I45" s="84"/>
      <c r="J45" s="84"/>
      <c r="K45" s="6"/>
      <c r="L45" s="89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89"/>
      <c r="F46" s="299">
        <v>175</v>
      </c>
      <c r="G46" s="300"/>
      <c r="H46" s="84"/>
      <c r="I46" s="84"/>
      <c r="J46" s="84"/>
      <c r="K46" s="6"/>
      <c r="L46" s="89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89"/>
      <c r="F47" s="301">
        <f>F45+F46</f>
        <v>2720.09</v>
      </c>
      <c r="G47" s="302"/>
      <c r="H47" s="84"/>
      <c r="I47" s="84"/>
      <c r="J47" s="84"/>
      <c r="K47" s="6"/>
      <c r="L47" s="89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89"/>
      <c r="F48" s="297">
        <f>410.03+350+480</f>
        <v>1240.03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89"/>
      <c r="F49" s="299">
        <f>96+96</f>
        <v>192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89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89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89"/>
      <c r="F52" s="299">
        <f>SUM(F47:G51)</f>
        <v>4152.12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89"/>
      <c r="F53" s="303">
        <f>+M43-F52</f>
        <v>-24.779999999999745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4127.34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82"/>
      <c r="C56" s="82"/>
      <c r="D56" s="82"/>
      <c r="E56" s="82"/>
      <c r="F56" s="82"/>
      <c r="G56" s="82"/>
      <c r="H56" s="6"/>
      <c r="I56" s="82"/>
      <c r="J56" s="82"/>
      <c r="K56" s="82"/>
      <c r="L56" s="82"/>
      <c r="M56" s="82"/>
      <c r="N56" s="83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90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91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 t="s">
        <v>154</v>
      </c>
      <c r="M63" s="52">
        <v>13555</v>
      </c>
      <c r="N63" s="53">
        <v>42410</v>
      </c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M41:N41"/>
    <mergeCell ref="M42:N42"/>
    <mergeCell ref="F43:G43"/>
    <mergeCell ref="M43:N43"/>
    <mergeCell ref="M40:N4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V75"/>
  <sheetViews>
    <sheetView topLeftCell="A37" zoomScaleNormal="100" workbookViewId="0">
      <selection activeCell="I51" sqref="I51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8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1"/>
      <c r="M4" s="81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81" t="s">
        <v>2</v>
      </c>
      <c r="M5" s="81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8</v>
      </c>
      <c r="K8" s="73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5747.72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79"/>
      <c r="B11" s="268">
        <f>$M$9</f>
        <v>5747.72</v>
      </c>
      <c r="C11" s="268"/>
      <c r="D11" s="269" t="s">
        <v>86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76" t="s">
        <v>64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12"/>
    </row>
    <row r="14" spans="1:20">
      <c r="A14" s="5"/>
      <c r="B14" s="271" t="s">
        <v>84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/>
    </row>
    <row r="17" spans="1:22">
      <c r="A17" s="5"/>
      <c r="B17" s="6" t="s">
        <v>11</v>
      </c>
      <c r="C17" s="6"/>
      <c r="D17" s="6"/>
      <c r="E17" s="14">
        <v>16</v>
      </c>
      <c r="F17" s="73" t="s">
        <v>5</v>
      </c>
      <c r="G17" s="265" t="s">
        <v>68</v>
      </c>
      <c r="H17" s="265"/>
      <c r="I17" s="73" t="s">
        <v>12</v>
      </c>
      <c r="J17" s="14">
        <v>20</v>
      </c>
      <c r="K17" s="73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73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4</v>
      </c>
      <c r="E25" s="73" t="s">
        <v>28</v>
      </c>
      <c r="F25" s="286">
        <v>1110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73" t="s">
        <v>28</v>
      </c>
      <c r="F26" s="286">
        <v>555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4995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59</v>
      </c>
      <c r="D28" s="265"/>
      <c r="E28" s="265"/>
      <c r="F28" s="73" t="s">
        <v>28</v>
      </c>
      <c r="G28" s="265" t="s">
        <v>60</v>
      </c>
      <c r="H28" s="265"/>
      <c r="I28" s="265"/>
      <c r="J28" s="18">
        <v>208</v>
      </c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83</v>
      </c>
      <c r="D29" s="265"/>
      <c r="E29" s="265"/>
      <c r="F29" s="73" t="s">
        <v>28</v>
      </c>
      <c r="G29" s="265" t="s">
        <v>83</v>
      </c>
      <c r="H29" s="265"/>
      <c r="I29" s="265"/>
      <c r="J29" s="18">
        <v>360</v>
      </c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 t="s">
        <v>60</v>
      </c>
      <c r="D30" s="265"/>
      <c r="E30" s="265"/>
      <c r="F30" s="73" t="s">
        <v>28</v>
      </c>
      <c r="G30" s="265" t="s">
        <v>59</v>
      </c>
      <c r="H30" s="265"/>
      <c r="I30" s="265"/>
      <c r="J30" s="20">
        <v>208</v>
      </c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/>
      <c r="D31" s="265"/>
      <c r="E31" s="265"/>
      <c r="F31" s="73" t="s">
        <v>28</v>
      </c>
      <c r="G31" s="265"/>
      <c r="H31" s="265"/>
      <c r="I31" s="265"/>
      <c r="J31" s="20"/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73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73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80"/>
      <c r="D34" s="280"/>
      <c r="E34" s="280"/>
      <c r="F34" s="73" t="s">
        <v>28</v>
      </c>
      <c r="G34" s="265"/>
      <c r="H34" s="265"/>
      <c r="I34" s="265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73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73"/>
      <c r="G36" s="256"/>
      <c r="H36" s="256"/>
      <c r="I36" s="256"/>
      <c r="J36" s="22">
        <f>J28+J29+J30+J31+J32+J33+J34+J35</f>
        <v>776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80"/>
      <c r="M37" s="290">
        <f>M26</f>
        <v>4995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73"/>
      <c r="I38" s="73"/>
      <c r="J38" s="25"/>
      <c r="K38" s="6"/>
      <c r="L38" s="75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75" t="s">
        <v>32</v>
      </c>
      <c r="M40" s="286">
        <f>J36*J37</f>
        <v>752.72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75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75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80"/>
      <c r="F43" s="297">
        <v>2960</v>
      </c>
      <c r="G43" s="298"/>
      <c r="H43" s="75"/>
      <c r="I43" s="75"/>
      <c r="J43" s="75"/>
      <c r="K43" s="6" t="s">
        <v>43</v>
      </c>
      <c r="L43" s="80"/>
      <c r="M43" s="266">
        <f>SUM(M37+M39+M40)+M41+M42</f>
        <v>5747.72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80"/>
      <c r="F44" s="299">
        <f>400+200+500.01+194+300.01</f>
        <v>1594.02</v>
      </c>
      <c r="G44" s="300"/>
      <c r="H44" s="75"/>
      <c r="I44" s="75"/>
      <c r="J44" s="75"/>
      <c r="K44" s="6" t="s">
        <v>45</v>
      </c>
      <c r="L44" s="80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80"/>
      <c r="F45" s="301">
        <f>F43+F44</f>
        <v>4554.0200000000004</v>
      </c>
      <c r="G45" s="302"/>
      <c r="H45" s="75"/>
      <c r="I45" s="75"/>
      <c r="J45" s="75"/>
      <c r="K45" s="6"/>
      <c r="L45" s="80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80"/>
      <c r="F46" s="299">
        <v>250</v>
      </c>
      <c r="G46" s="300"/>
      <c r="H46" s="75"/>
      <c r="I46" s="75"/>
      <c r="J46" s="75"/>
      <c r="K46" s="6"/>
      <c r="L46" s="80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80"/>
      <c r="F47" s="301">
        <f>F45+F46</f>
        <v>4804.0200000000004</v>
      </c>
      <c r="G47" s="302"/>
      <c r="H47" s="75"/>
      <c r="I47" s="75"/>
      <c r="J47" s="75"/>
      <c r="K47" s="6"/>
      <c r="L47" s="80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80"/>
      <c r="F48" s="297">
        <f>270+500</f>
        <v>770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80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80" t="s">
        <v>50</v>
      </c>
      <c r="F50" s="299">
        <v>0</v>
      </c>
      <c r="G50" s="300"/>
      <c r="H50" s="6"/>
      <c r="I50" s="40" t="s">
        <v>155</v>
      </c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80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80"/>
      <c r="F52" s="299">
        <f>SUM(F47:G51)+100+100</f>
        <v>5774.02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80"/>
      <c r="F53" s="303">
        <f>+M43-F52</f>
        <v>-26.300000000000182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5747.72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73"/>
      <c r="C56" s="73"/>
      <c r="D56" s="73"/>
      <c r="E56" s="73"/>
      <c r="F56" s="73"/>
      <c r="G56" s="73"/>
      <c r="H56" s="6"/>
      <c r="I56" s="73"/>
      <c r="J56" s="73"/>
      <c r="K56" s="73"/>
      <c r="L56" s="73"/>
      <c r="M56" s="73"/>
      <c r="N56" s="74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65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66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 t="s">
        <v>161</v>
      </c>
      <c r="M63" s="52">
        <v>13551</v>
      </c>
      <c r="N63" s="53">
        <v>42409</v>
      </c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V75"/>
  <sheetViews>
    <sheetView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7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1"/>
      <c r="M4" s="81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81" t="s">
        <v>2</v>
      </c>
      <c r="M5" s="81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8</v>
      </c>
      <c r="K8" s="73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4995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79"/>
      <c r="B11" s="268">
        <f>$M$9</f>
        <v>4995</v>
      </c>
      <c r="C11" s="268"/>
      <c r="D11" s="269" t="s">
        <v>85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76" t="s">
        <v>64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12"/>
    </row>
    <row r="14" spans="1:20">
      <c r="A14" s="5"/>
      <c r="B14" s="271" t="s">
        <v>84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/>
    </row>
    <row r="17" spans="1:22">
      <c r="A17" s="5"/>
      <c r="B17" s="6" t="s">
        <v>11</v>
      </c>
      <c r="C17" s="6"/>
      <c r="D17" s="6"/>
      <c r="E17" s="14">
        <v>16</v>
      </c>
      <c r="F17" s="73" t="s">
        <v>5</v>
      </c>
      <c r="G17" s="265" t="s">
        <v>68</v>
      </c>
      <c r="H17" s="265"/>
      <c r="I17" s="73" t="s">
        <v>12</v>
      </c>
      <c r="J17" s="14">
        <v>20</v>
      </c>
      <c r="K17" s="73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73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4</v>
      </c>
      <c r="E25" s="73" t="s">
        <v>28</v>
      </c>
      <c r="F25" s="286">
        <v>1110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73" t="s">
        <v>28</v>
      </c>
      <c r="F26" s="286">
        <v>555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4995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59</v>
      </c>
      <c r="D28" s="265"/>
      <c r="E28" s="265"/>
      <c r="F28" s="73" t="s">
        <v>28</v>
      </c>
      <c r="G28" s="265" t="s">
        <v>60</v>
      </c>
      <c r="H28" s="265"/>
      <c r="I28" s="265"/>
      <c r="J28" s="18"/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83</v>
      </c>
      <c r="D29" s="265"/>
      <c r="E29" s="265"/>
      <c r="F29" s="73" t="s">
        <v>28</v>
      </c>
      <c r="G29" s="265" t="s">
        <v>83</v>
      </c>
      <c r="H29" s="265"/>
      <c r="I29" s="265"/>
      <c r="J29" s="18"/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 t="s">
        <v>60</v>
      </c>
      <c r="D30" s="265"/>
      <c r="E30" s="265"/>
      <c r="F30" s="73" t="s">
        <v>28</v>
      </c>
      <c r="G30" s="265" t="s">
        <v>59</v>
      </c>
      <c r="H30" s="265"/>
      <c r="I30" s="265"/>
      <c r="J30" s="20"/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/>
      <c r="D31" s="265"/>
      <c r="E31" s="265"/>
      <c r="F31" s="73" t="s">
        <v>28</v>
      </c>
      <c r="G31" s="265"/>
      <c r="H31" s="265"/>
      <c r="I31" s="265"/>
      <c r="J31" s="20"/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73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73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80"/>
      <c r="D34" s="280"/>
      <c r="E34" s="280"/>
      <c r="F34" s="73" t="s">
        <v>28</v>
      </c>
      <c r="G34" s="265"/>
      <c r="H34" s="265"/>
      <c r="I34" s="265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73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73"/>
      <c r="G36" s="256"/>
      <c r="H36" s="256"/>
      <c r="I36" s="256"/>
      <c r="J36" s="22">
        <f>J28+J29+J30+J31+J32+J33+J34+J35</f>
        <v>0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80"/>
      <c r="M37" s="290">
        <f>M26</f>
        <v>4995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73"/>
      <c r="I38" s="73"/>
      <c r="J38" s="25"/>
      <c r="K38" s="6"/>
      <c r="L38" s="75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75" t="s">
        <v>32</v>
      </c>
      <c r="M40" s="286">
        <f>J36*J37</f>
        <v>0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75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75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80"/>
      <c r="F43" s="297">
        <v>0</v>
      </c>
      <c r="G43" s="298"/>
      <c r="H43" s="75"/>
      <c r="I43" s="75"/>
      <c r="J43" s="75"/>
      <c r="K43" s="6" t="s">
        <v>43</v>
      </c>
      <c r="L43" s="80"/>
      <c r="M43" s="266">
        <f>SUM(M37+M39+M40)+M41+M42</f>
        <v>4995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80"/>
      <c r="F44" s="299">
        <v>0</v>
      </c>
      <c r="G44" s="300"/>
      <c r="H44" s="75"/>
      <c r="I44" s="75"/>
      <c r="J44" s="75"/>
      <c r="K44" s="6" t="s">
        <v>45</v>
      </c>
      <c r="L44" s="80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80"/>
      <c r="F45" s="301">
        <f>F43+F44</f>
        <v>0</v>
      </c>
      <c r="G45" s="302"/>
      <c r="H45" s="75"/>
      <c r="I45" s="75"/>
      <c r="J45" s="75"/>
      <c r="K45" s="6"/>
      <c r="L45" s="80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80"/>
      <c r="F46" s="299">
        <v>0</v>
      </c>
      <c r="G46" s="300"/>
      <c r="H46" s="75"/>
      <c r="I46" s="75"/>
      <c r="J46" s="75"/>
      <c r="K46" s="6"/>
      <c r="L46" s="80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80"/>
      <c r="F47" s="301">
        <f>F45+F46</f>
        <v>0</v>
      </c>
      <c r="G47" s="302"/>
      <c r="H47" s="75"/>
      <c r="I47" s="75"/>
      <c r="J47" s="75"/>
      <c r="K47" s="6"/>
      <c r="L47" s="80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80"/>
      <c r="F48" s="297">
        <v>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80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80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80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80"/>
      <c r="F52" s="299">
        <f>SUM(F47:G51)</f>
        <v>0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80"/>
      <c r="F53" s="303">
        <v>0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0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73"/>
      <c r="C56" s="73"/>
      <c r="D56" s="73"/>
      <c r="E56" s="73"/>
      <c r="F56" s="73"/>
      <c r="G56" s="73"/>
      <c r="H56" s="6"/>
      <c r="I56" s="73"/>
      <c r="J56" s="73"/>
      <c r="K56" s="73"/>
      <c r="L56" s="73"/>
      <c r="M56" s="73"/>
      <c r="N56" s="74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62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63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/>
      <c r="M63" s="52"/>
      <c r="N63" s="53"/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V75"/>
  <sheetViews>
    <sheetView topLeftCell="A38" zoomScaleNormal="100" workbookViewId="0">
      <selection activeCell="F53" sqref="F53:G54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3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8"/>
      <c r="M4" s="68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68" t="s">
        <v>2</v>
      </c>
      <c r="M5" s="68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4</v>
      </c>
      <c r="K8" s="64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3917.8199999999997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66"/>
      <c r="B11" s="268">
        <f>$M$9</f>
        <v>3917.8199999999997</v>
      </c>
      <c r="C11" s="268"/>
      <c r="D11" s="269" t="s">
        <v>80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69" t="s">
        <v>79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12"/>
    </row>
    <row r="14" spans="1:20">
      <c r="A14" s="5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</row>
    <row r="17" spans="1:22">
      <c r="A17" s="5"/>
      <c r="B17" s="6" t="s">
        <v>11</v>
      </c>
      <c r="C17" s="6"/>
      <c r="D17" s="6"/>
      <c r="E17" s="14">
        <v>5</v>
      </c>
      <c r="F17" s="64" t="s">
        <v>5</v>
      </c>
      <c r="G17" s="265" t="s">
        <v>68</v>
      </c>
      <c r="H17" s="265"/>
      <c r="I17" s="64" t="s">
        <v>12</v>
      </c>
      <c r="J17" s="14">
        <v>6</v>
      </c>
      <c r="K17" s="64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64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1</v>
      </c>
      <c r="E25" s="64" t="s">
        <v>28</v>
      </c>
      <c r="F25" s="286">
        <v>2220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64" t="s">
        <v>28</v>
      </c>
      <c r="F26" s="286">
        <v>1110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3330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74</v>
      </c>
      <c r="D28" s="265"/>
      <c r="E28" s="265"/>
      <c r="F28" s="64" t="s">
        <v>28</v>
      </c>
      <c r="G28" s="265" t="s">
        <v>78</v>
      </c>
      <c r="H28" s="265"/>
      <c r="I28" s="265"/>
      <c r="J28" s="18">
        <v>303</v>
      </c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78</v>
      </c>
      <c r="D29" s="265"/>
      <c r="E29" s="265"/>
      <c r="F29" s="64" t="s">
        <v>28</v>
      </c>
      <c r="G29" s="265" t="s">
        <v>74</v>
      </c>
      <c r="H29" s="265"/>
      <c r="I29" s="265"/>
      <c r="J29" s="18">
        <v>303</v>
      </c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/>
      <c r="D30" s="265"/>
      <c r="E30" s="265"/>
      <c r="F30" s="64" t="s">
        <v>28</v>
      </c>
      <c r="G30" s="265"/>
      <c r="H30" s="265"/>
      <c r="I30" s="265"/>
      <c r="J30" s="20"/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/>
      <c r="D31" s="265"/>
      <c r="E31" s="265"/>
      <c r="F31" s="64" t="s">
        <v>28</v>
      </c>
      <c r="G31" s="265"/>
      <c r="H31" s="265"/>
      <c r="I31" s="265"/>
      <c r="J31" s="20"/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64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64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65"/>
      <c r="D34" s="265"/>
      <c r="E34" s="265"/>
      <c r="F34" s="64" t="s">
        <v>28</v>
      </c>
      <c r="G34" s="280"/>
      <c r="H34" s="280"/>
      <c r="I34" s="280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64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64" t="s">
        <v>28</v>
      </c>
      <c r="G36" s="256"/>
      <c r="H36" s="256"/>
      <c r="I36" s="256"/>
      <c r="J36" s="22">
        <f>J28+J29+J30+J31+J32+J33+J35</f>
        <v>606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67"/>
      <c r="M37" s="290">
        <f>M26</f>
        <v>3330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64"/>
      <c r="I38" s="64"/>
      <c r="J38" s="25"/>
      <c r="K38" s="6"/>
      <c r="L38" s="72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72" t="s">
        <v>32</v>
      </c>
      <c r="M40" s="286">
        <f>J36*J37</f>
        <v>587.81999999999994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72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72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67"/>
      <c r="F43" s="297">
        <v>0</v>
      </c>
      <c r="G43" s="298"/>
      <c r="H43" s="72"/>
      <c r="I43" s="72"/>
      <c r="J43" s="72"/>
      <c r="K43" s="6" t="s">
        <v>43</v>
      </c>
      <c r="L43" s="67"/>
      <c r="M43" s="266">
        <f>SUM(M37+M39+M40)+M41+M42</f>
        <v>3917.8199999999997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67"/>
      <c r="F44" s="299">
        <f>1060+636</f>
        <v>1696</v>
      </c>
      <c r="G44" s="300"/>
      <c r="H44" s="72"/>
      <c r="I44" s="72"/>
      <c r="J44" s="72"/>
      <c r="K44" s="6" t="s">
        <v>45</v>
      </c>
      <c r="L44" s="67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67"/>
      <c r="F45" s="301">
        <f>F43+F44</f>
        <v>1696</v>
      </c>
      <c r="G45" s="302"/>
      <c r="H45" s="72"/>
      <c r="I45" s="72"/>
      <c r="J45" s="72"/>
      <c r="K45" s="6"/>
      <c r="L45" s="67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67"/>
      <c r="F46" s="299">
        <v>432.9</v>
      </c>
      <c r="G46" s="300"/>
      <c r="H46" s="72"/>
      <c r="I46" s="72"/>
      <c r="J46" s="72"/>
      <c r="K46" s="6"/>
      <c r="L46" s="67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67"/>
      <c r="F47" s="301">
        <f>F45+F46</f>
        <v>2128.9</v>
      </c>
      <c r="G47" s="302"/>
      <c r="H47" s="72"/>
      <c r="I47" s="72"/>
      <c r="J47" s="72"/>
      <c r="K47" s="6"/>
      <c r="L47" s="67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67"/>
      <c r="F48" s="297">
        <f>639.96+560.6</f>
        <v>1200.56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67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67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67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67"/>
      <c r="F52" s="299">
        <f>SUM(F47:G51)</f>
        <v>3329.46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67"/>
      <c r="F53" s="303">
        <f>+M43-F52</f>
        <v>588.35999999999967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3917.8199999999997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64"/>
      <c r="C56" s="64"/>
      <c r="D56" s="64"/>
      <c r="E56" s="64"/>
      <c r="F56" s="64"/>
      <c r="G56" s="64"/>
      <c r="H56" s="6"/>
      <c r="I56" s="64"/>
      <c r="J56" s="64"/>
      <c r="K56" s="64"/>
      <c r="L56" s="64"/>
      <c r="M56" s="64"/>
      <c r="N56" s="65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75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76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 t="s">
        <v>154</v>
      </c>
      <c r="M63" s="52">
        <v>13531</v>
      </c>
      <c r="N63" s="53">
        <v>42404</v>
      </c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V75"/>
  <sheetViews>
    <sheetView zoomScaleNormal="100" workbookViewId="0">
      <selection activeCell="I50" sqref="I50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2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58"/>
      <c r="M4" s="58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58" t="s">
        <v>2</v>
      </c>
      <c r="M5" s="58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3</v>
      </c>
      <c r="K8" s="54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4995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56"/>
      <c r="B11" s="268">
        <f>$M$9</f>
        <v>4995</v>
      </c>
      <c r="C11" s="268"/>
      <c r="D11" s="269" t="s">
        <v>67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59" t="s">
        <v>64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12"/>
    </row>
    <row r="14" spans="1:20">
      <c r="A14" s="5"/>
      <c r="B14" s="271" t="s">
        <v>71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1"/>
    </row>
    <row r="17" spans="1:22">
      <c r="A17" s="5"/>
      <c r="B17" s="6" t="s">
        <v>11</v>
      </c>
      <c r="C17" s="6"/>
      <c r="D17" s="6"/>
      <c r="E17" s="14">
        <v>8</v>
      </c>
      <c r="F17" s="54" t="s">
        <v>5</v>
      </c>
      <c r="G17" s="265" t="s">
        <v>68</v>
      </c>
      <c r="H17" s="265"/>
      <c r="I17" s="54" t="s">
        <v>12</v>
      </c>
      <c r="J17" s="14">
        <v>12</v>
      </c>
      <c r="K17" s="54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54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4</v>
      </c>
      <c r="E25" s="54" t="s">
        <v>28</v>
      </c>
      <c r="F25" s="286">
        <v>1110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54" t="s">
        <v>28</v>
      </c>
      <c r="F26" s="286">
        <v>555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4995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59</v>
      </c>
      <c r="D28" s="265"/>
      <c r="E28" s="265"/>
      <c r="F28" s="54" t="s">
        <v>28</v>
      </c>
      <c r="G28" s="265" t="s">
        <v>60</v>
      </c>
      <c r="H28" s="265"/>
      <c r="I28" s="265"/>
      <c r="J28" s="18"/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60</v>
      </c>
      <c r="D29" s="265"/>
      <c r="E29" s="265"/>
      <c r="F29" s="54" t="s">
        <v>28</v>
      </c>
      <c r="G29" s="265" t="s">
        <v>61</v>
      </c>
      <c r="H29" s="265"/>
      <c r="I29" s="265"/>
      <c r="J29" s="18"/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 t="s">
        <v>61</v>
      </c>
      <c r="D30" s="265"/>
      <c r="E30" s="265"/>
      <c r="F30" s="54" t="s">
        <v>28</v>
      </c>
      <c r="G30" s="265" t="s">
        <v>60</v>
      </c>
      <c r="H30" s="265"/>
      <c r="I30" s="265"/>
      <c r="J30" s="20"/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 t="s">
        <v>60</v>
      </c>
      <c r="D31" s="265"/>
      <c r="E31" s="265"/>
      <c r="F31" s="54" t="s">
        <v>28</v>
      </c>
      <c r="G31" s="265" t="s">
        <v>61</v>
      </c>
      <c r="H31" s="265"/>
      <c r="I31" s="265"/>
      <c r="J31" s="20"/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 t="s">
        <v>61</v>
      </c>
      <c r="D32" s="280"/>
      <c r="E32" s="280"/>
      <c r="F32" s="54" t="s">
        <v>28</v>
      </c>
      <c r="G32" s="280" t="s">
        <v>60</v>
      </c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 t="s">
        <v>60</v>
      </c>
      <c r="D33" s="280"/>
      <c r="E33" s="280"/>
      <c r="F33" s="54" t="s">
        <v>28</v>
      </c>
      <c r="G33" s="265" t="s">
        <v>69</v>
      </c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80" t="s">
        <v>69</v>
      </c>
      <c r="D34" s="280"/>
      <c r="E34" s="280"/>
      <c r="F34" s="54" t="s">
        <v>28</v>
      </c>
      <c r="G34" s="265" t="s">
        <v>60</v>
      </c>
      <c r="H34" s="265"/>
      <c r="I34" s="265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 t="s">
        <v>60</v>
      </c>
      <c r="D35" s="280"/>
      <c r="E35" s="280"/>
      <c r="F35" s="54" t="s">
        <v>28</v>
      </c>
      <c r="G35" s="265" t="s">
        <v>59</v>
      </c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54"/>
      <c r="G36" s="256"/>
      <c r="H36" s="256"/>
      <c r="I36" s="256"/>
      <c r="J36" s="22">
        <f>J28+J29+J30+J31+J32+J33+J34+J35</f>
        <v>0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57"/>
      <c r="M37" s="290">
        <f>M26</f>
        <v>4995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54"/>
      <c r="I38" s="54"/>
      <c r="J38" s="25"/>
      <c r="K38" s="6"/>
      <c r="L38" s="62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62" t="s">
        <v>32</v>
      </c>
      <c r="M40" s="286">
        <f>J36*J37</f>
        <v>0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62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62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57"/>
      <c r="F43" s="297">
        <v>2960</v>
      </c>
      <c r="G43" s="298"/>
      <c r="H43" s="62"/>
      <c r="I43" s="62"/>
      <c r="J43" s="62"/>
      <c r="K43" s="6" t="s">
        <v>43</v>
      </c>
      <c r="L43" s="57"/>
      <c r="M43" s="266">
        <f>SUM(M37+M39+M40)+M41+M42</f>
        <v>4995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57"/>
      <c r="F44" s="299">
        <f>341.01+450+220.01+297.01+303</f>
        <v>1611.03</v>
      </c>
      <c r="G44" s="300"/>
      <c r="H44" s="62"/>
      <c r="I44" s="62"/>
      <c r="J44" s="62"/>
      <c r="K44" s="6" t="s">
        <v>45</v>
      </c>
      <c r="L44" s="57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57"/>
      <c r="F45" s="301">
        <f>F43+F44</f>
        <v>4571.03</v>
      </c>
      <c r="G45" s="302"/>
      <c r="H45" s="62"/>
      <c r="I45" s="62"/>
      <c r="J45" s="62"/>
      <c r="K45" s="6"/>
      <c r="L45" s="57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57"/>
      <c r="F46" s="299">
        <v>224</v>
      </c>
      <c r="G46" s="300"/>
      <c r="H46" s="62"/>
      <c r="I46" s="62"/>
      <c r="J46" s="62"/>
      <c r="K46" s="6"/>
      <c r="L46" s="57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57"/>
      <c r="F47" s="301">
        <f>F45+F46</f>
        <v>4795.03</v>
      </c>
      <c r="G47" s="302"/>
      <c r="H47" s="62"/>
      <c r="I47" s="62"/>
      <c r="J47" s="62"/>
      <c r="K47" s="6"/>
      <c r="L47" s="57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57"/>
      <c r="F48" s="297">
        <v>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57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57" t="s">
        <v>50</v>
      </c>
      <c r="F50" s="299">
        <v>0</v>
      </c>
      <c r="G50" s="300"/>
      <c r="H50" s="6"/>
      <c r="I50" s="40" t="s">
        <v>167</v>
      </c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57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57"/>
      <c r="F52" s="299">
        <f>SUM(F47:G51)+200</f>
        <v>4995.03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57"/>
      <c r="F53" s="303">
        <f>+M43-F52</f>
        <v>-2.9999999999745341E-2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4995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54"/>
      <c r="C56" s="54"/>
      <c r="D56" s="54"/>
      <c r="E56" s="54"/>
      <c r="F56" s="54"/>
      <c r="G56" s="54"/>
      <c r="H56" s="6"/>
      <c r="I56" s="54"/>
      <c r="J56" s="54"/>
      <c r="K56" s="54"/>
      <c r="L56" s="54"/>
      <c r="M56" s="54"/>
      <c r="N56" s="55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65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66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 t="s">
        <v>154</v>
      </c>
      <c r="M63" s="52">
        <v>13529</v>
      </c>
      <c r="N63" s="53">
        <v>42403</v>
      </c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M41:N41"/>
    <mergeCell ref="M42:N42"/>
    <mergeCell ref="F43:G43"/>
    <mergeCell ref="M43:N43"/>
    <mergeCell ref="M40:N4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V75"/>
  <sheetViews>
    <sheetView tabSelected="1" zoomScaleNormal="100" workbookViewId="0">
      <selection activeCell="E68" sqref="E68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1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58"/>
      <c r="M4" s="58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58" t="s">
        <v>2</v>
      </c>
      <c r="M5" s="58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3</v>
      </c>
      <c r="K8" s="54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5786.52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56"/>
      <c r="B11" s="268">
        <f>$M$9</f>
        <v>5786.52</v>
      </c>
      <c r="C11" s="268"/>
      <c r="D11" s="269" t="s">
        <v>70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63" t="s">
        <v>64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12"/>
    </row>
    <row r="14" spans="1:20">
      <c r="A14" s="5"/>
      <c r="B14" s="271" t="s">
        <v>71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1"/>
    </row>
    <row r="17" spans="1:22">
      <c r="A17" s="5"/>
      <c r="B17" s="6" t="s">
        <v>11</v>
      </c>
      <c r="C17" s="6"/>
      <c r="D17" s="6"/>
      <c r="E17" s="14">
        <v>8</v>
      </c>
      <c r="F17" s="54" t="s">
        <v>5</v>
      </c>
      <c r="G17" s="265" t="s">
        <v>68</v>
      </c>
      <c r="H17" s="265"/>
      <c r="I17" s="54" t="s">
        <v>12</v>
      </c>
      <c r="J17" s="14">
        <v>12</v>
      </c>
      <c r="K17" s="54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54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4</v>
      </c>
      <c r="E25" s="54" t="s">
        <v>28</v>
      </c>
      <c r="F25" s="286">
        <v>1110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54" t="s">
        <v>28</v>
      </c>
      <c r="F26" s="286">
        <v>555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4995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59</v>
      </c>
      <c r="D28" s="265"/>
      <c r="E28" s="265"/>
      <c r="F28" s="54" t="s">
        <v>28</v>
      </c>
      <c r="G28" s="265" t="s">
        <v>60</v>
      </c>
      <c r="H28" s="265"/>
      <c r="I28" s="265"/>
      <c r="J28" s="18">
        <v>208</v>
      </c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60</v>
      </c>
      <c r="D29" s="265"/>
      <c r="E29" s="265"/>
      <c r="F29" s="54" t="s">
        <v>28</v>
      </c>
      <c r="G29" s="265" t="s">
        <v>61</v>
      </c>
      <c r="H29" s="265"/>
      <c r="I29" s="265"/>
      <c r="J29" s="18">
        <v>85</v>
      </c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 t="s">
        <v>61</v>
      </c>
      <c r="D30" s="265"/>
      <c r="E30" s="265"/>
      <c r="F30" s="54" t="s">
        <v>28</v>
      </c>
      <c r="G30" s="265" t="s">
        <v>60</v>
      </c>
      <c r="H30" s="265"/>
      <c r="I30" s="265"/>
      <c r="J30" s="20">
        <v>85</v>
      </c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 t="s">
        <v>60</v>
      </c>
      <c r="D31" s="265"/>
      <c r="E31" s="265"/>
      <c r="F31" s="54" t="s">
        <v>28</v>
      </c>
      <c r="G31" s="265" t="s">
        <v>61</v>
      </c>
      <c r="H31" s="265"/>
      <c r="I31" s="265"/>
      <c r="J31" s="20">
        <v>85</v>
      </c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 t="s">
        <v>61</v>
      </c>
      <c r="D32" s="280"/>
      <c r="E32" s="280"/>
      <c r="F32" s="54" t="s">
        <v>28</v>
      </c>
      <c r="G32" s="280" t="s">
        <v>60</v>
      </c>
      <c r="H32" s="280"/>
      <c r="I32" s="280"/>
      <c r="J32" s="20">
        <v>85</v>
      </c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 t="s">
        <v>60</v>
      </c>
      <c r="D33" s="280"/>
      <c r="E33" s="280"/>
      <c r="F33" s="54" t="s">
        <v>28</v>
      </c>
      <c r="G33" s="265" t="s">
        <v>69</v>
      </c>
      <c r="H33" s="265"/>
      <c r="I33" s="265"/>
      <c r="J33" s="20">
        <v>30</v>
      </c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80" t="s">
        <v>69</v>
      </c>
      <c r="D34" s="280"/>
      <c r="E34" s="280"/>
      <c r="F34" s="54" t="s">
        <v>28</v>
      </c>
      <c r="G34" s="265" t="s">
        <v>60</v>
      </c>
      <c r="H34" s="265"/>
      <c r="I34" s="265"/>
      <c r="J34" s="20">
        <v>30</v>
      </c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 t="s">
        <v>60</v>
      </c>
      <c r="D35" s="280"/>
      <c r="E35" s="280"/>
      <c r="F35" s="54" t="s">
        <v>28</v>
      </c>
      <c r="G35" s="265" t="s">
        <v>59</v>
      </c>
      <c r="H35" s="265"/>
      <c r="I35" s="265"/>
      <c r="J35" s="21">
        <v>208</v>
      </c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54"/>
      <c r="G36" s="256"/>
      <c r="H36" s="256"/>
      <c r="I36" s="256"/>
      <c r="J36" s="22">
        <f>J28+J29+J30+J31+J32+J33+J34+J35</f>
        <v>816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57"/>
      <c r="M37" s="290">
        <f>M26</f>
        <v>4995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54"/>
      <c r="I38" s="54"/>
      <c r="J38" s="25"/>
      <c r="K38" s="6"/>
      <c r="L38" s="62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62" t="s">
        <v>32</v>
      </c>
      <c r="M40" s="286">
        <f>J36*J37</f>
        <v>791.52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62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62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57"/>
      <c r="F43" s="297">
        <v>0</v>
      </c>
      <c r="G43" s="298"/>
      <c r="H43" s="62"/>
      <c r="I43" s="62"/>
      <c r="J43" s="62"/>
      <c r="K43" s="6" t="s">
        <v>43</v>
      </c>
      <c r="L43" s="57"/>
      <c r="M43" s="266">
        <f>SUM(M37+M39+M40)+M41+M42</f>
        <v>5786.52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57"/>
      <c r="F44" s="299">
        <v>0</v>
      </c>
      <c r="G44" s="300"/>
      <c r="H44" s="62"/>
      <c r="I44" s="62"/>
      <c r="J44" s="62"/>
      <c r="K44" s="6" t="s">
        <v>45</v>
      </c>
      <c r="L44" s="57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57"/>
      <c r="F45" s="301">
        <f>F43+F44</f>
        <v>0</v>
      </c>
      <c r="G45" s="302"/>
      <c r="H45" s="62"/>
      <c r="I45" s="62"/>
      <c r="J45" s="62"/>
      <c r="K45" s="6"/>
      <c r="L45" s="57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57"/>
      <c r="F46" s="299">
        <v>0</v>
      </c>
      <c r="G46" s="300"/>
      <c r="H46" s="62"/>
      <c r="I46" s="62"/>
      <c r="J46" s="62"/>
      <c r="K46" s="6"/>
      <c r="L46" s="57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57"/>
      <c r="F47" s="301">
        <f>F45+F46</f>
        <v>0</v>
      </c>
      <c r="G47" s="302"/>
      <c r="H47" s="62"/>
      <c r="I47" s="62"/>
      <c r="J47" s="62"/>
      <c r="K47" s="6"/>
      <c r="L47" s="57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57"/>
      <c r="F48" s="297">
        <v>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57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57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57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57"/>
      <c r="F52" s="299">
        <f>SUM(F47:G51)</f>
        <v>0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57"/>
      <c r="F53" s="303">
        <v>0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0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54"/>
      <c r="C56" s="54"/>
      <c r="D56" s="54"/>
      <c r="E56" s="54"/>
      <c r="F56" s="54"/>
      <c r="G56" s="54"/>
      <c r="H56" s="6"/>
      <c r="I56" s="54"/>
      <c r="J56" s="54"/>
      <c r="K56" s="54"/>
      <c r="L56" s="54"/>
      <c r="M56" s="54"/>
      <c r="N56" s="55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62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63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/>
      <c r="M63" s="52"/>
      <c r="N63" s="53"/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M41:N41"/>
    <mergeCell ref="M42:N42"/>
    <mergeCell ref="F43:G43"/>
    <mergeCell ref="M43:N43"/>
    <mergeCell ref="M40:N4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V75"/>
  <sheetViews>
    <sheetView topLeftCell="A7" zoomScaleNormal="100" workbookViewId="0">
      <selection activeCell="M13" sqref="M1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54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245"/>
      <c r="M4" s="245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245" t="s">
        <v>2</v>
      </c>
      <c r="M5" s="245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25</v>
      </c>
      <c r="K8" s="237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6482.3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243"/>
      <c r="B11" s="268">
        <f>$M$9</f>
        <v>6482.3</v>
      </c>
      <c r="C11" s="268"/>
      <c r="D11" s="269" t="s">
        <v>174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240" t="s">
        <v>176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12"/>
    </row>
    <row r="14" spans="1:20">
      <c r="A14" s="5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2"/>
    </row>
    <row r="17" spans="1:22">
      <c r="A17" s="5"/>
      <c r="B17" s="6" t="s">
        <v>11</v>
      </c>
      <c r="C17" s="6"/>
      <c r="D17" s="6"/>
      <c r="E17" s="14">
        <v>3</v>
      </c>
      <c r="F17" s="237" t="s">
        <v>5</v>
      </c>
      <c r="G17" s="265" t="s">
        <v>162</v>
      </c>
      <c r="H17" s="265"/>
      <c r="I17" s="237" t="s">
        <v>12</v>
      </c>
      <c r="J17" s="14">
        <v>5</v>
      </c>
      <c r="K17" s="237" t="s">
        <v>13</v>
      </c>
      <c r="L17" s="265" t="s">
        <v>162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237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2</v>
      </c>
      <c r="E25" s="237" t="s">
        <v>28</v>
      </c>
      <c r="F25" s="286">
        <v>2220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237" t="s">
        <v>28</v>
      </c>
      <c r="F26" s="286">
        <v>1110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5550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74</v>
      </c>
      <c r="D28" s="265"/>
      <c r="E28" s="265"/>
      <c r="F28" s="237" t="s">
        <v>28</v>
      </c>
      <c r="G28" s="265" t="s">
        <v>82</v>
      </c>
      <c r="H28" s="265"/>
      <c r="I28" s="265"/>
      <c r="J28" s="18">
        <v>280</v>
      </c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82</v>
      </c>
      <c r="D29" s="265"/>
      <c r="E29" s="265"/>
      <c r="F29" s="237" t="s">
        <v>28</v>
      </c>
      <c r="G29" s="265" t="s">
        <v>82</v>
      </c>
      <c r="H29" s="265"/>
      <c r="I29" s="265"/>
      <c r="J29" s="18">
        <v>30</v>
      </c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 t="s">
        <v>82</v>
      </c>
      <c r="D30" s="265"/>
      <c r="E30" s="265"/>
      <c r="F30" s="237" t="s">
        <v>28</v>
      </c>
      <c r="G30" s="265" t="s">
        <v>74</v>
      </c>
      <c r="H30" s="265"/>
      <c r="I30" s="265"/>
      <c r="J30" s="20">
        <v>280</v>
      </c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/>
      <c r="D31" s="265"/>
      <c r="E31" s="265"/>
      <c r="F31" s="237" t="s">
        <v>28</v>
      </c>
      <c r="G31" s="265"/>
      <c r="H31" s="265"/>
      <c r="I31" s="265"/>
      <c r="J31" s="20"/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237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237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65"/>
      <c r="D34" s="265"/>
      <c r="E34" s="265"/>
      <c r="F34" s="237" t="s">
        <v>28</v>
      </c>
      <c r="G34" s="280"/>
      <c r="H34" s="280"/>
      <c r="I34" s="280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237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237" t="s">
        <v>28</v>
      </c>
      <c r="G36" s="256"/>
      <c r="H36" s="256"/>
      <c r="I36" s="256"/>
      <c r="J36" s="22">
        <f>J28+J29+J30+J31+J32+J33+J35</f>
        <v>590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244"/>
      <c r="M37" s="290">
        <f>M26</f>
        <v>5550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237"/>
      <c r="I38" s="237"/>
      <c r="J38" s="25"/>
      <c r="K38" s="6"/>
      <c r="L38" s="239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360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239" t="s">
        <v>32</v>
      </c>
      <c r="M40" s="286">
        <f>J36*J37</f>
        <v>572.29999999999995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239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239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244"/>
      <c r="F43" s="297">
        <v>0</v>
      </c>
      <c r="G43" s="298"/>
      <c r="H43" s="239"/>
      <c r="I43" s="239"/>
      <c r="J43" s="239"/>
      <c r="K43" s="6" t="s">
        <v>43</v>
      </c>
      <c r="L43" s="244"/>
      <c r="M43" s="266">
        <f>SUM(M37+M39+M40)+M41+M42</f>
        <v>6482.3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244"/>
      <c r="F44" s="299">
        <v>0</v>
      </c>
      <c r="G44" s="300"/>
      <c r="H44" s="239"/>
      <c r="I44" s="239"/>
      <c r="J44" s="239"/>
      <c r="K44" s="6" t="s">
        <v>45</v>
      </c>
      <c r="L44" s="244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244"/>
      <c r="F45" s="301">
        <f>F43+F44</f>
        <v>0</v>
      </c>
      <c r="G45" s="302"/>
      <c r="H45" s="239"/>
      <c r="I45" s="239"/>
      <c r="J45" s="239"/>
      <c r="K45" s="6"/>
      <c r="L45" s="244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244"/>
      <c r="F46" s="299">
        <v>0</v>
      </c>
      <c r="G46" s="300"/>
      <c r="H46" s="239"/>
      <c r="I46" s="239"/>
      <c r="J46" s="239"/>
      <c r="K46" s="6"/>
      <c r="L46" s="244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244"/>
      <c r="F47" s="301">
        <f>F45+F46</f>
        <v>0</v>
      </c>
      <c r="G47" s="302"/>
      <c r="H47" s="239"/>
      <c r="I47" s="239"/>
      <c r="J47" s="239"/>
      <c r="K47" s="6"/>
      <c r="L47" s="244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244"/>
      <c r="F48" s="297">
        <v>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244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244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244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244"/>
      <c r="F52" s="299">
        <f>SUM(F47:G51)</f>
        <v>0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244"/>
      <c r="F53" s="303">
        <v>0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0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237"/>
      <c r="C56" s="237"/>
      <c r="D56" s="237"/>
      <c r="E56" s="237"/>
      <c r="F56" s="237"/>
      <c r="G56" s="237"/>
      <c r="H56" s="6"/>
      <c r="I56" s="237"/>
      <c r="J56" s="237"/>
      <c r="K56" s="237"/>
      <c r="L56" s="237"/>
      <c r="M56" s="237"/>
      <c r="N56" s="238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136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137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 t="s">
        <v>154</v>
      </c>
      <c r="M63" s="52"/>
      <c r="N63" s="53"/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V75"/>
  <sheetViews>
    <sheetView topLeftCell="A43" zoomScaleNormal="100" workbookViewId="0">
      <selection activeCell="B13" sqref="B13:N14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52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245"/>
      <c r="M4" s="245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245" t="s">
        <v>2</v>
      </c>
      <c r="M5" s="245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25</v>
      </c>
      <c r="K8" s="237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3123.2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243"/>
      <c r="B11" s="268">
        <f>$M$9</f>
        <v>3123.2</v>
      </c>
      <c r="C11" s="268"/>
      <c r="D11" s="269" t="s">
        <v>173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240" t="s">
        <v>171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12"/>
    </row>
    <row r="14" spans="1:20">
      <c r="A14" s="5"/>
      <c r="B14" s="271" t="s">
        <v>172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2"/>
    </row>
    <row r="17" spans="1:22">
      <c r="A17" s="5"/>
      <c r="B17" s="6" t="s">
        <v>11</v>
      </c>
      <c r="C17" s="6"/>
      <c r="D17" s="6"/>
      <c r="E17" s="14">
        <v>1</v>
      </c>
      <c r="F17" s="237" t="s">
        <v>5</v>
      </c>
      <c r="G17" s="265" t="s">
        <v>162</v>
      </c>
      <c r="H17" s="265"/>
      <c r="I17" s="237" t="s">
        <v>12</v>
      </c>
      <c r="J17" s="14">
        <v>2</v>
      </c>
      <c r="K17" s="237" t="s">
        <v>13</v>
      </c>
      <c r="L17" s="265" t="s">
        <v>162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237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1</v>
      </c>
      <c r="E25" s="237" t="s">
        <v>28</v>
      </c>
      <c r="F25" s="286">
        <v>1387.5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237" t="s">
        <v>28</v>
      </c>
      <c r="F26" s="286">
        <v>832.5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2220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59</v>
      </c>
      <c r="D28" s="265"/>
      <c r="E28" s="265"/>
      <c r="F28" s="237" t="s">
        <v>28</v>
      </c>
      <c r="G28" s="265" t="s">
        <v>82</v>
      </c>
      <c r="H28" s="265"/>
      <c r="I28" s="265"/>
      <c r="J28" s="18">
        <v>280</v>
      </c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82</v>
      </c>
      <c r="D29" s="265"/>
      <c r="E29" s="265"/>
      <c r="F29" s="237" t="s">
        <v>28</v>
      </c>
      <c r="G29" s="265" t="s">
        <v>59</v>
      </c>
      <c r="H29" s="265"/>
      <c r="I29" s="265"/>
      <c r="J29" s="18">
        <v>280</v>
      </c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/>
      <c r="D30" s="265"/>
      <c r="E30" s="265"/>
      <c r="F30" s="237" t="s">
        <v>28</v>
      </c>
      <c r="G30" s="265"/>
      <c r="H30" s="265"/>
      <c r="I30" s="265"/>
      <c r="J30" s="20"/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/>
      <c r="D31" s="265"/>
      <c r="E31" s="265"/>
      <c r="F31" s="237" t="s">
        <v>28</v>
      </c>
      <c r="G31" s="265"/>
      <c r="H31" s="265"/>
      <c r="I31" s="265"/>
      <c r="J31" s="20"/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237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237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80"/>
      <c r="D34" s="280"/>
      <c r="E34" s="280"/>
      <c r="F34" s="237" t="s">
        <v>28</v>
      </c>
      <c r="G34" s="265"/>
      <c r="H34" s="265"/>
      <c r="I34" s="265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237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237"/>
      <c r="G36" s="256"/>
      <c r="H36" s="256"/>
      <c r="I36" s="256"/>
      <c r="J36" s="22">
        <f>J28+J29+J30+J31+J32+J33+J34+J35</f>
        <v>560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244"/>
      <c r="M37" s="290">
        <f>M26</f>
        <v>2220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237"/>
      <c r="I38" s="237"/>
      <c r="J38" s="25"/>
      <c r="K38" s="6"/>
      <c r="L38" s="239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360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239" t="s">
        <v>32</v>
      </c>
      <c r="M40" s="286">
        <f>J36*J37</f>
        <v>543.19999999999993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239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239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244"/>
      <c r="F43" s="297">
        <v>0</v>
      </c>
      <c r="G43" s="298"/>
      <c r="H43" s="239"/>
      <c r="I43" s="239"/>
      <c r="J43" s="239"/>
      <c r="K43" s="6" t="s">
        <v>43</v>
      </c>
      <c r="L43" s="244"/>
      <c r="M43" s="266">
        <f>SUM(M37+M39+M40)+M41+M42</f>
        <v>3123.2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244"/>
      <c r="F44" s="299">
        <v>0</v>
      </c>
      <c r="G44" s="300"/>
      <c r="H44" s="239"/>
      <c r="I44" s="239"/>
      <c r="J44" s="239"/>
      <c r="K44" s="6" t="s">
        <v>45</v>
      </c>
      <c r="L44" s="244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244"/>
      <c r="F45" s="301">
        <f>F43+F44</f>
        <v>0</v>
      </c>
      <c r="G45" s="302"/>
      <c r="H45" s="239"/>
      <c r="I45" s="239"/>
      <c r="J45" s="239"/>
      <c r="K45" s="6"/>
      <c r="L45" s="244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244"/>
      <c r="F46" s="299">
        <v>0</v>
      </c>
      <c r="G46" s="300"/>
      <c r="H46" s="239"/>
      <c r="I46" s="239"/>
      <c r="J46" s="239"/>
      <c r="K46" s="6"/>
      <c r="L46" s="244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244"/>
      <c r="F47" s="301">
        <f>F45+F46</f>
        <v>0</v>
      </c>
      <c r="G47" s="302"/>
      <c r="H47" s="239"/>
      <c r="I47" s="239"/>
      <c r="J47" s="239"/>
      <c r="K47" s="6"/>
      <c r="L47" s="244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244"/>
      <c r="F48" s="297">
        <v>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244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244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244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244"/>
      <c r="F52" s="299">
        <f>SUM(F47:G51)</f>
        <v>0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244"/>
      <c r="F53" s="303">
        <v>0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0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237"/>
      <c r="C56" s="237"/>
      <c r="D56" s="237"/>
      <c r="E56" s="237"/>
      <c r="F56" s="237"/>
      <c r="G56" s="237"/>
      <c r="H56" s="6"/>
      <c r="I56" s="237"/>
      <c r="J56" s="237"/>
      <c r="K56" s="237"/>
      <c r="L56" s="237"/>
      <c r="M56" s="237"/>
      <c r="N56" s="238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169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170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/>
      <c r="M63" s="52"/>
      <c r="N63" s="53"/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V75"/>
  <sheetViews>
    <sheetView topLeftCell="A4" zoomScaleNormal="100" workbookViewId="0">
      <selection activeCell="K16" sqref="K16:L16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49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232"/>
      <c r="M4" s="232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232" t="s">
        <v>2</v>
      </c>
      <c r="M5" s="232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24</v>
      </c>
      <c r="K8" s="228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3330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230"/>
      <c r="B11" s="268">
        <f>$M$9</f>
        <v>3330</v>
      </c>
      <c r="C11" s="268"/>
      <c r="D11" s="269" t="s">
        <v>159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233" t="s">
        <v>168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12"/>
    </row>
    <row r="14" spans="1:20">
      <c r="A14" s="5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5"/>
    </row>
    <row r="17" spans="1:22">
      <c r="A17" s="5"/>
      <c r="B17" s="6" t="s">
        <v>11</v>
      </c>
      <c r="C17" s="6"/>
      <c r="D17" s="6"/>
      <c r="E17" s="14">
        <v>25</v>
      </c>
      <c r="F17" s="228" t="s">
        <v>5</v>
      </c>
      <c r="G17" s="265" t="s">
        <v>68</v>
      </c>
      <c r="H17" s="265"/>
      <c r="I17" s="228" t="s">
        <v>12</v>
      </c>
      <c r="J17" s="14">
        <v>26</v>
      </c>
      <c r="K17" s="228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/>
      <c r="I19" s="258" t="s">
        <v>17</v>
      </c>
      <c r="J19" s="260"/>
      <c r="K19" s="16" t="s">
        <v>16</v>
      </c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228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1</v>
      </c>
      <c r="E25" s="228" t="s">
        <v>28</v>
      </c>
      <c r="F25" s="286">
        <v>2220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228" t="s">
        <v>28</v>
      </c>
      <c r="F26" s="286">
        <v>1110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3330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74</v>
      </c>
      <c r="D28" s="265"/>
      <c r="E28" s="265"/>
      <c r="F28" s="228" t="s">
        <v>28</v>
      </c>
      <c r="G28" s="265" t="s">
        <v>78</v>
      </c>
      <c r="H28" s="265"/>
      <c r="I28" s="265"/>
      <c r="J28" s="18"/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78</v>
      </c>
      <c r="D29" s="265"/>
      <c r="E29" s="265"/>
      <c r="F29" s="228" t="s">
        <v>28</v>
      </c>
      <c r="G29" s="265" t="s">
        <v>74</v>
      </c>
      <c r="H29" s="265"/>
      <c r="I29" s="265"/>
      <c r="J29" s="18"/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/>
      <c r="D30" s="265"/>
      <c r="E30" s="265"/>
      <c r="F30" s="228" t="s">
        <v>28</v>
      </c>
      <c r="G30" s="265"/>
      <c r="H30" s="265"/>
      <c r="I30" s="265"/>
      <c r="J30" s="20"/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/>
      <c r="D31" s="265"/>
      <c r="E31" s="265"/>
      <c r="F31" s="228" t="s">
        <v>28</v>
      </c>
      <c r="G31" s="265"/>
      <c r="H31" s="265"/>
      <c r="I31" s="265"/>
      <c r="J31" s="20"/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228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228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65"/>
      <c r="D34" s="265"/>
      <c r="E34" s="265"/>
      <c r="F34" s="228" t="s">
        <v>28</v>
      </c>
      <c r="G34" s="280"/>
      <c r="H34" s="280"/>
      <c r="I34" s="280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228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228" t="s">
        <v>28</v>
      </c>
      <c r="G36" s="256"/>
      <c r="H36" s="256"/>
      <c r="I36" s="256"/>
      <c r="J36" s="22">
        <f>J28+J29+J30+J31+J32+J33+J35</f>
        <v>0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231"/>
      <c r="M37" s="290">
        <f>M26</f>
        <v>3330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228"/>
      <c r="I38" s="228"/>
      <c r="J38" s="25"/>
      <c r="K38" s="6"/>
      <c r="L38" s="236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236" t="s">
        <v>32</v>
      </c>
      <c r="M40" s="286">
        <f>J36*J37</f>
        <v>0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236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236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231"/>
      <c r="F43" s="297">
        <v>0</v>
      </c>
      <c r="G43" s="298"/>
      <c r="H43" s="236"/>
      <c r="I43" s="236"/>
      <c r="J43" s="236"/>
      <c r="K43" s="6" t="s">
        <v>43</v>
      </c>
      <c r="L43" s="231"/>
      <c r="M43" s="266">
        <f>SUM(M37+M39+M40)+M41+M42</f>
        <v>3330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231"/>
      <c r="F44" s="299">
        <v>0</v>
      </c>
      <c r="G44" s="300"/>
      <c r="H44" s="236"/>
      <c r="I44" s="236"/>
      <c r="J44" s="236"/>
      <c r="K44" s="6" t="s">
        <v>45</v>
      </c>
      <c r="L44" s="231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231"/>
      <c r="F45" s="301">
        <f>F43+F44</f>
        <v>0</v>
      </c>
      <c r="G45" s="302"/>
      <c r="H45" s="236"/>
      <c r="I45" s="236"/>
      <c r="J45" s="236"/>
      <c r="K45" s="6"/>
      <c r="L45" s="231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231"/>
      <c r="F46" s="299">
        <v>0</v>
      </c>
      <c r="G46" s="300"/>
      <c r="H46" s="236"/>
      <c r="I46" s="236"/>
      <c r="J46" s="236"/>
      <c r="K46" s="6"/>
      <c r="L46" s="231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231"/>
      <c r="F47" s="301">
        <f>F45+F46</f>
        <v>0</v>
      </c>
      <c r="G47" s="302"/>
      <c r="H47" s="236"/>
      <c r="I47" s="236"/>
      <c r="J47" s="236"/>
      <c r="K47" s="6"/>
      <c r="L47" s="231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231"/>
      <c r="F48" s="297">
        <v>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231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231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231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231"/>
      <c r="F52" s="299">
        <f>SUM(F47:G51)</f>
        <v>0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231"/>
      <c r="F53" s="303">
        <v>0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0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228"/>
      <c r="C56" s="228"/>
      <c r="D56" s="228"/>
      <c r="E56" s="228"/>
      <c r="F56" s="228"/>
      <c r="G56" s="228"/>
      <c r="H56" s="6"/>
      <c r="I56" s="228"/>
      <c r="J56" s="228"/>
      <c r="K56" s="228"/>
      <c r="L56" s="228"/>
      <c r="M56" s="228"/>
      <c r="N56" s="229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75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76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/>
      <c r="M63" s="52"/>
      <c r="N63" s="53"/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39:Q39"/>
    <mergeCell ref="M41:N41"/>
    <mergeCell ref="M42:N42"/>
    <mergeCell ref="F43:G43"/>
    <mergeCell ref="M43:N43"/>
    <mergeCell ref="M40:N40"/>
    <mergeCell ref="C35:E35"/>
    <mergeCell ref="G35:I35"/>
    <mergeCell ref="C36:E36"/>
    <mergeCell ref="G36:I36"/>
    <mergeCell ref="H37:I37"/>
    <mergeCell ref="M37:N37"/>
    <mergeCell ref="M38:N38"/>
    <mergeCell ref="G39:J39"/>
    <mergeCell ref="K39:L39"/>
    <mergeCell ref="M39:N39"/>
    <mergeCell ref="C32:E32"/>
    <mergeCell ref="G32:I32"/>
    <mergeCell ref="C33:E33"/>
    <mergeCell ref="G33:I33"/>
    <mergeCell ref="C34:E34"/>
    <mergeCell ref="G34:I34"/>
    <mergeCell ref="C29:E29"/>
    <mergeCell ref="G29:I29"/>
    <mergeCell ref="C30:E30"/>
    <mergeCell ref="G30:I30"/>
    <mergeCell ref="C31:E31"/>
    <mergeCell ref="G31:I31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V75"/>
  <sheetViews>
    <sheetView topLeftCell="A4" zoomScaleNormal="100" workbookViewId="0">
      <selection activeCell="L8" sqref="L8:M8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48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227"/>
      <c r="M4" s="227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227" t="s">
        <v>2</v>
      </c>
      <c r="M5" s="227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23</v>
      </c>
      <c r="K8" s="219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3996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225"/>
      <c r="B11" s="268">
        <f>$M$9</f>
        <v>3996</v>
      </c>
      <c r="C11" s="268"/>
      <c r="D11" s="269" t="s">
        <v>166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222" t="s">
        <v>164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12"/>
    </row>
    <row r="14" spans="1:20">
      <c r="A14" s="5"/>
      <c r="B14" s="271" t="s">
        <v>165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4"/>
    </row>
    <row r="17" spans="1:22">
      <c r="A17" s="5"/>
      <c r="B17" s="6" t="s">
        <v>11</v>
      </c>
      <c r="C17" s="6"/>
      <c r="D17" s="6"/>
      <c r="E17" s="14">
        <v>25</v>
      </c>
      <c r="F17" s="219" t="s">
        <v>5</v>
      </c>
      <c r="G17" s="265" t="s">
        <v>68</v>
      </c>
      <c r="H17" s="265"/>
      <c r="I17" s="219" t="s">
        <v>12</v>
      </c>
      <c r="J17" s="14">
        <v>26</v>
      </c>
      <c r="K17" s="219" t="s">
        <v>13</v>
      </c>
      <c r="L17" s="265" t="s">
        <v>68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/>
      <c r="I19" s="258" t="s">
        <v>17</v>
      </c>
      <c r="J19" s="260"/>
      <c r="K19" s="16" t="s">
        <v>16</v>
      </c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219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1</v>
      </c>
      <c r="E25" s="219" t="s">
        <v>28</v>
      </c>
      <c r="F25" s="286">
        <v>2664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219" t="s">
        <v>28</v>
      </c>
      <c r="F26" s="286">
        <v>1332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3996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74</v>
      </c>
      <c r="D28" s="265"/>
      <c r="E28" s="265"/>
      <c r="F28" s="219" t="s">
        <v>28</v>
      </c>
      <c r="G28" s="265" t="s">
        <v>157</v>
      </c>
      <c r="H28" s="265"/>
      <c r="I28" s="265"/>
      <c r="J28" s="18"/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157</v>
      </c>
      <c r="D29" s="265"/>
      <c r="E29" s="265"/>
      <c r="F29" s="219" t="s">
        <v>28</v>
      </c>
      <c r="G29" s="265" t="s">
        <v>74</v>
      </c>
      <c r="H29" s="265"/>
      <c r="I29" s="265"/>
      <c r="J29" s="18"/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/>
      <c r="D30" s="265"/>
      <c r="E30" s="265"/>
      <c r="F30" s="219" t="s">
        <v>28</v>
      </c>
      <c r="G30" s="265"/>
      <c r="H30" s="265"/>
      <c r="I30" s="265"/>
      <c r="J30" s="20"/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/>
      <c r="D31" s="265"/>
      <c r="E31" s="265"/>
      <c r="F31" s="219" t="s">
        <v>28</v>
      </c>
      <c r="G31" s="265"/>
      <c r="H31" s="265"/>
      <c r="I31" s="265"/>
      <c r="J31" s="20"/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219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219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65"/>
      <c r="D34" s="265"/>
      <c r="E34" s="265"/>
      <c r="F34" s="219" t="s">
        <v>28</v>
      </c>
      <c r="G34" s="280"/>
      <c r="H34" s="280"/>
      <c r="I34" s="280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219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219" t="s">
        <v>28</v>
      </c>
      <c r="G36" s="256"/>
      <c r="H36" s="256"/>
      <c r="I36" s="256"/>
      <c r="J36" s="22">
        <f>J28+J29+J30+J31+J32+J33+J35</f>
        <v>0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226"/>
      <c r="M37" s="290">
        <f>M26</f>
        <v>3996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219"/>
      <c r="I38" s="219"/>
      <c r="J38" s="25"/>
      <c r="K38" s="6"/>
      <c r="L38" s="221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221" t="s">
        <v>32</v>
      </c>
      <c r="M40" s="286">
        <f>J36*J37</f>
        <v>0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221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221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226"/>
      <c r="F43" s="297">
        <v>0</v>
      </c>
      <c r="G43" s="298"/>
      <c r="H43" s="221"/>
      <c r="I43" s="221"/>
      <c r="J43" s="221"/>
      <c r="K43" s="6" t="s">
        <v>43</v>
      </c>
      <c r="L43" s="226"/>
      <c r="M43" s="266">
        <f>SUM(M37+M39+M40)+M41+M42</f>
        <v>3996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226"/>
      <c r="F44" s="299">
        <v>0</v>
      </c>
      <c r="G44" s="300"/>
      <c r="H44" s="221"/>
      <c r="I44" s="221"/>
      <c r="J44" s="221"/>
      <c r="K44" s="6" t="s">
        <v>45</v>
      </c>
      <c r="L44" s="226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226"/>
      <c r="F45" s="301">
        <f>F43+F44</f>
        <v>0</v>
      </c>
      <c r="G45" s="302"/>
      <c r="H45" s="221"/>
      <c r="I45" s="221"/>
      <c r="J45" s="221"/>
      <c r="K45" s="6"/>
      <c r="L45" s="226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226"/>
      <c r="F46" s="299">
        <v>0</v>
      </c>
      <c r="G46" s="300"/>
      <c r="H46" s="221"/>
      <c r="I46" s="221"/>
      <c r="J46" s="221"/>
      <c r="K46" s="6"/>
      <c r="L46" s="226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226"/>
      <c r="F47" s="301">
        <f>F45+F46</f>
        <v>0</v>
      </c>
      <c r="G47" s="302"/>
      <c r="H47" s="221"/>
      <c r="I47" s="221"/>
      <c r="J47" s="221"/>
      <c r="K47" s="6"/>
      <c r="L47" s="226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226"/>
      <c r="F48" s="297">
        <v>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226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226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226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226"/>
      <c r="F52" s="299">
        <f>SUM(F47:G51)</f>
        <v>0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226"/>
      <c r="F53" s="303">
        <v>0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0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219"/>
      <c r="C56" s="219"/>
      <c r="D56" s="219"/>
      <c r="E56" s="219"/>
      <c r="F56" s="219"/>
      <c r="G56" s="219"/>
      <c r="H56" s="6"/>
      <c r="I56" s="219"/>
      <c r="J56" s="219"/>
      <c r="K56" s="219"/>
      <c r="L56" s="219"/>
      <c r="M56" s="219"/>
      <c r="N56" s="220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130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131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/>
      <c r="M63" s="52"/>
      <c r="N63" s="53"/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M41:N41"/>
    <mergeCell ref="M42:N42"/>
    <mergeCell ref="F43:G43"/>
    <mergeCell ref="M43:N43"/>
    <mergeCell ref="M40:N4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V75"/>
  <sheetViews>
    <sheetView topLeftCell="A34" zoomScaleNormal="100" workbookViewId="0">
      <selection activeCell="I13" sqref="I1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47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215"/>
      <c r="M4" s="215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215" t="s">
        <v>2</v>
      </c>
      <c r="M5" s="215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22</v>
      </c>
      <c r="K8" s="210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5747.72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213"/>
      <c r="B11" s="268">
        <f>$M$9</f>
        <v>5747.72</v>
      </c>
      <c r="C11" s="268"/>
      <c r="D11" s="269" t="s">
        <v>86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216" t="s">
        <v>163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12"/>
    </row>
    <row r="14" spans="1:20">
      <c r="A14" s="5"/>
      <c r="B14" s="271" t="s">
        <v>84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8"/>
    </row>
    <row r="17" spans="1:22">
      <c r="A17" s="5"/>
      <c r="B17" s="6" t="s">
        <v>11</v>
      </c>
      <c r="C17" s="6"/>
      <c r="D17" s="6"/>
      <c r="E17" s="14">
        <v>29</v>
      </c>
      <c r="F17" s="210" t="s">
        <v>5</v>
      </c>
      <c r="G17" s="265" t="s">
        <v>68</v>
      </c>
      <c r="H17" s="265"/>
      <c r="I17" s="210" t="s">
        <v>12</v>
      </c>
      <c r="J17" s="14">
        <v>4</v>
      </c>
      <c r="K17" s="210" t="s">
        <v>13</v>
      </c>
      <c r="L17" s="265" t="s">
        <v>162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210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4</v>
      </c>
      <c r="E25" s="210" t="s">
        <v>28</v>
      </c>
      <c r="F25" s="286">
        <v>1110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210" t="s">
        <v>28</v>
      </c>
      <c r="F26" s="286">
        <v>555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4995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59</v>
      </c>
      <c r="D28" s="265"/>
      <c r="E28" s="265"/>
      <c r="F28" s="210" t="s">
        <v>28</v>
      </c>
      <c r="G28" s="265" t="s">
        <v>60</v>
      </c>
      <c r="H28" s="265"/>
      <c r="I28" s="265"/>
      <c r="J28" s="18">
        <v>208</v>
      </c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83</v>
      </c>
      <c r="D29" s="265"/>
      <c r="E29" s="265"/>
      <c r="F29" s="210" t="s">
        <v>28</v>
      </c>
      <c r="G29" s="265" t="s">
        <v>83</v>
      </c>
      <c r="H29" s="265"/>
      <c r="I29" s="265"/>
      <c r="J29" s="18">
        <v>360</v>
      </c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 t="s">
        <v>60</v>
      </c>
      <c r="D30" s="265"/>
      <c r="E30" s="265"/>
      <c r="F30" s="210" t="s">
        <v>28</v>
      </c>
      <c r="G30" s="265" t="s">
        <v>59</v>
      </c>
      <c r="H30" s="265"/>
      <c r="I30" s="265"/>
      <c r="J30" s="20">
        <v>208</v>
      </c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/>
      <c r="D31" s="265"/>
      <c r="E31" s="265"/>
      <c r="F31" s="210" t="s">
        <v>28</v>
      </c>
      <c r="G31" s="265"/>
      <c r="H31" s="265"/>
      <c r="I31" s="265"/>
      <c r="J31" s="20"/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210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210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80"/>
      <c r="D34" s="280"/>
      <c r="E34" s="280"/>
      <c r="F34" s="210" t="s">
        <v>28</v>
      </c>
      <c r="G34" s="265"/>
      <c r="H34" s="265"/>
      <c r="I34" s="265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210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210"/>
      <c r="G36" s="256"/>
      <c r="H36" s="256"/>
      <c r="I36" s="256"/>
      <c r="J36" s="22">
        <f>J28+J29+J30+J31+J32+J33+J34+J35</f>
        <v>776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214"/>
      <c r="M37" s="290">
        <f>M26</f>
        <v>4995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210"/>
      <c r="I38" s="210"/>
      <c r="J38" s="25"/>
      <c r="K38" s="6"/>
      <c r="L38" s="212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212" t="s">
        <v>32</v>
      </c>
      <c r="M40" s="286">
        <f>J36*J37</f>
        <v>752.72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212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212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214"/>
      <c r="F43" s="297">
        <v>0</v>
      </c>
      <c r="G43" s="298"/>
      <c r="H43" s="212"/>
      <c r="I43" s="212"/>
      <c r="J43" s="212"/>
      <c r="K43" s="6" t="s">
        <v>43</v>
      </c>
      <c r="L43" s="214"/>
      <c r="M43" s="266">
        <f>SUM(M37+M39+M40)+M41+M42</f>
        <v>5747.72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214"/>
      <c r="F44" s="299">
        <v>0</v>
      </c>
      <c r="G44" s="300"/>
      <c r="H44" s="212"/>
      <c r="I44" s="212"/>
      <c r="J44" s="212"/>
      <c r="K44" s="6" t="s">
        <v>45</v>
      </c>
      <c r="L44" s="214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214"/>
      <c r="F45" s="301">
        <f>F43+F44</f>
        <v>0</v>
      </c>
      <c r="G45" s="302"/>
      <c r="H45" s="212"/>
      <c r="I45" s="212"/>
      <c r="J45" s="212"/>
      <c r="K45" s="6"/>
      <c r="L45" s="214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214"/>
      <c r="F46" s="299">
        <v>0</v>
      </c>
      <c r="G46" s="300"/>
      <c r="H46" s="212"/>
      <c r="I46" s="212"/>
      <c r="J46" s="212"/>
      <c r="K46" s="6"/>
      <c r="L46" s="214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214"/>
      <c r="F47" s="301">
        <f>F45+F46</f>
        <v>0</v>
      </c>
      <c r="G47" s="302"/>
      <c r="H47" s="212"/>
      <c r="I47" s="212"/>
      <c r="J47" s="212"/>
      <c r="K47" s="6"/>
      <c r="L47" s="214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214"/>
      <c r="F48" s="297">
        <v>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214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214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214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214"/>
      <c r="F52" s="299">
        <f>SUM(F47:G51)</f>
        <v>0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214"/>
      <c r="F53" s="303">
        <v>0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0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210"/>
      <c r="C56" s="210"/>
      <c r="D56" s="210"/>
      <c r="E56" s="210"/>
      <c r="F56" s="210"/>
      <c r="G56" s="210"/>
      <c r="H56" s="6"/>
      <c r="I56" s="210"/>
      <c r="J56" s="210"/>
      <c r="K56" s="210"/>
      <c r="L56" s="210"/>
      <c r="M56" s="210"/>
      <c r="N56" s="211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65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66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/>
      <c r="M63" s="52"/>
      <c r="N63" s="53"/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M41:N41"/>
    <mergeCell ref="M42:N42"/>
    <mergeCell ref="F43:G43"/>
    <mergeCell ref="M43:N43"/>
    <mergeCell ref="M40:N4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</mergeCells>
  <pageMargins left="0.7" right="0.7" top="0.75" bottom="0.75" header="0.3" footer="0.3"/>
  <pageSetup scale="97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V75"/>
  <sheetViews>
    <sheetView topLeftCell="A10" zoomScaleNormal="100" workbookViewId="0">
      <selection activeCell="J24" sqref="J24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261">
        <v>46</v>
      </c>
      <c r="N2" s="262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63"/>
      <c r="M3" s="264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215"/>
      <c r="M4" s="215"/>
      <c r="N4" s="9" t="s">
        <v>1</v>
      </c>
    </row>
    <row r="5" spans="1:20">
      <c r="A5" s="5"/>
      <c r="B5" s="6"/>
      <c r="C5" s="6"/>
      <c r="D5" s="6"/>
      <c r="E5" s="6"/>
      <c r="F5" s="6"/>
      <c r="G5" s="10"/>
      <c r="H5" s="6"/>
      <c r="I5" s="6"/>
      <c r="J5" s="6"/>
      <c r="K5" s="6"/>
      <c r="L5" s="215" t="s">
        <v>2</v>
      </c>
      <c r="M5" s="215"/>
      <c r="N5" s="11"/>
    </row>
    <row r="6" spans="1:20">
      <c r="A6" s="5"/>
      <c r="B6" s="6"/>
      <c r="C6" s="6"/>
      <c r="D6" s="6"/>
      <c r="E6" s="6"/>
      <c r="F6" s="6"/>
      <c r="G6" s="10" t="s">
        <v>3</v>
      </c>
      <c r="H6" s="6"/>
      <c r="I6" s="6"/>
      <c r="J6" s="6"/>
      <c r="K6" s="6"/>
      <c r="L6" s="6"/>
      <c r="M6" s="6"/>
      <c r="N6" s="12"/>
    </row>
    <row r="7" spans="1:20">
      <c r="A7" s="5"/>
      <c r="B7" s="6"/>
      <c r="C7" s="6"/>
      <c r="D7" s="6"/>
      <c r="E7" s="6"/>
      <c r="F7" s="10"/>
      <c r="G7" s="10"/>
      <c r="H7" s="6"/>
      <c r="I7" s="6"/>
      <c r="J7" s="6"/>
      <c r="K7" s="6"/>
      <c r="L7" s="6"/>
      <c r="M7" s="6"/>
      <c r="N7" s="12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3">
        <v>22</v>
      </c>
      <c r="K8" s="210" t="s">
        <v>5</v>
      </c>
      <c r="L8" s="265" t="s">
        <v>68</v>
      </c>
      <c r="M8" s="265"/>
      <c r="N8" s="12">
        <v>2016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256" t="s">
        <v>6</v>
      </c>
      <c r="L9" s="256"/>
      <c r="M9" s="266">
        <f>M43</f>
        <v>4995</v>
      </c>
      <c r="N9" s="267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20">
      <c r="A11" s="213"/>
      <c r="B11" s="268">
        <f>$M$9</f>
        <v>4995</v>
      </c>
      <c r="C11" s="268"/>
      <c r="D11" s="269" t="s">
        <v>85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70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P12" s="4" t="s">
        <v>9</v>
      </c>
      <c r="T12" s="4" t="s">
        <v>10</v>
      </c>
    </row>
    <row r="13" spans="1:20">
      <c r="A13" s="5"/>
      <c r="B13" s="216" t="s">
        <v>163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12"/>
    </row>
    <row r="14" spans="1:20">
      <c r="A14" s="5"/>
      <c r="B14" s="271" t="s">
        <v>84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20" ht="3.75" customHeight="1">
      <c r="A15" s="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4"/>
    </row>
    <row r="16" spans="1:20">
      <c r="A16" s="5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8"/>
    </row>
    <row r="17" spans="1:22">
      <c r="A17" s="5"/>
      <c r="B17" s="6" t="s">
        <v>11</v>
      </c>
      <c r="C17" s="6"/>
      <c r="D17" s="6"/>
      <c r="E17" s="14">
        <v>29</v>
      </c>
      <c r="F17" s="210" t="s">
        <v>5</v>
      </c>
      <c r="G17" s="265" t="s">
        <v>68</v>
      </c>
      <c r="H17" s="265"/>
      <c r="I17" s="210" t="s">
        <v>12</v>
      </c>
      <c r="J17" s="14">
        <v>4</v>
      </c>
      <c r="K17" s="210" t="s">
        <v>13</v>
      </c>
      <c r="L17" s="265" t="s">
        <v>162</v>
      </c>
      <c r="M17" s="265"/>
      <c r="N17" s="12">
        <v>2016</v>
      </c>
      <c r="P17" s="15"/>
    </row>
    <row r="18" spans="1:22" ht="12" thickBot="1">
      <c r="A18" s="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6"/>
    </row>
    <row r="19" spans="1:22" ht="12" thickBot="1">
      <c r="A19" s="5"/>
      <c r="B19" s="256" t="s">
        <v>14</v>
      </c>
      <c r="C19" s="257"/>
      <c r="D19" s="16"/>
      <c r="E19" s="258" t="s">
        <v>15</v>
      </c>
      <c r="F19" s="259"/>
      <c r="G19" s="260"/>
      <c r="H19" s="16" t="s">
        <v>16</v>
      </c>
      <c r="I19" s="258" t="s">
        <v>17</v>
      </c>
      <c r="J19" s="260"/>
      <c r="K19" s="16"/>
      <c r="L19" s="258" t="s">
        <v>18</v>
      </c>
      <c r="M19" s="260"/>
      <c r="N19" s="16"/>
      <c r="V19" s="4" t="s">
        <v>10</v>
      </c>
    </row>
    <row r="20" spans="1:22">
      <c r="A20" s="5"/>
      <c r="B20" s="275" t="s">
        <v>19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Q20" s="4" t="s">
        <v>10</v>
      </c>
    </row>
    <row r="21" spans="1:22" ht="12.75" customHeight="1">
      <c r="A21" s="5"/>
      <c r="B21" s="277"/>
      <c r="C21" s="278"/>
      <c r="D21" s="278"/>
      <c r="E21" s="279"/>
      <c r="F21" s="261"/>
      <c r="G21" s="280"/>
      <c r="H21" s="280"/>
      <c r="I21" s="281"/>
      <c r="J21" s="261"/>
      <c r="K21" s="281"/>
      <c r="L21" s="261"/>
      <c r="M21" s="280"/>
      <c r="N21" s="262"/>
      <c r="Q21" s="4" t="s">
        <v>10</v>
      </c>
    </row>
    <row r="22" spans="1:22">
      <c r="A22" s="5"/>
      <c r="B22" s="282" t="s">
        <v>20</v>
      </c>
      <c r="C22" s="283"/>
      <c r="D22" s="283"/>
      <c r="E22" s="284"/>
      <c r="F22" s="282" t="s">
        <v>21</v>
      </c>
      <c r="G22" s="283"/>
      <c r="H22" s="283"/>
      <c r="I22" s="284"/>
      <c r="J22" s="282" t="s">
        <v>22</v>
      </c>
      <c r="K22" s="284"/>
      <c r="L22" s="282" t="s">
        <v>23</v>
      </c>
      <c r="M22" s="283"/>
      <c r="N22" s="285"/>
    </row>
    <row r="23" spans="1:22">
      <c r="A23" s="5"/>
      <c r="B23" s="7" t="s">
        <v>24</v>
      </c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12"/>
    </row>
    <row r="24" spans="1:22">
      <c r="A24" s="5"/>
      <c r="B24" s="6"/>
      <c r="C24" s="6" t="s">
        <v>25</v>
      </c>
      <c r="D24" s="6"/>
      <c r="E24" s="210"/>
      <c r="F24" s="265" t="s">
        <v>26</v>
      </c>
      <c r="G24" s="265"/>
      <c r="H24" s="6"/>
      <c r="I24" s="6"/>
      <c r="J24" s="10"/>
      <c r="K24" s="6"/>
      <c r="L24" s="6"/>
      <c r="M24" s="6"/>
      <c r="N24" s="12"/>
    </row>
    <row r="25" spans="1:22">
      <c r="A25" s="5"/>
      <c r="B25" s="6" t="s">
        <v>27</v>
      </c>
      <c r="C25" s="6"/>
      <c r="D25" s="17">
        <v>4</v>
      </c>
      <c r="E25" s="210" t="s">
        <v>28</v>
      </c>
      <c r="F25" s="286">
        <v>1110</v>
      </c>
      <c r="G25" s="287"/>
      <c r="H25" s="6" t="s">
        <v>29</v>
      </c>
      <c r="I25" s="6"/>
      <c r="J25" s="10"/>
      <c r="K25" s="6"/>
      <c r="L25" s="6"/>
      <c r="M25" s="288"/>
      <c r="N25" s="289"/>
    </row>
    <row r="26" spans="1:22">
      <c r="A26" s="5"/>
      <c r="B26" s="6" t="s">
        <v>30</v>
      </c>
      <c r="C26" s="6"/>
      <c r="D26" s="17">
        <v>1</v>
      </c>
      <c r="E26" s="210" t="s">
        <v>28</v>
      </c>
      <c r="F26" s="286">
        <v>555</v>
      </c>
      <c r="G26" s="287"/>
      <c r="H26" s="6" t="s">
        <v>29</v>
      </c>
      <c r="I26" s="6"/>
      <c r="J26" s="10"/>
      <c r="K26" s="6" t="s">
        <v>31</v>
      </c>
      <c r="L26" s="6"/>
      <c r="M26" s="290">
        <f>D25*F25+D26*F26</f>
        <v>4995</v>
      </c>
      <c r="N26" s="291"/>
    </row>
    <row r="27" spans="1:22">
      <c r="A27" s="5"/>
      <c r="B27" s="7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22">
      <c r="A28" s="5"/>
      <c r="B28" s="6" t="s">
        <v>5</v>
      </c>
      <c r="C28" s="265" t="s">
        <v>59</v>
      </c>
      <c r="D28" s="265"/>
      <c r="E28" s="265"/>
      <c r="F28" s="210" t="s">
        <v>28</v>
      </c>
      <c r="G28" s="265" t="s">
        <v>60</v>
      </c>
      <c r="H28" s="265"/>
      <c r="I28" s="265"/>
      <c r="J28" s="18"/>
      <c r="K28" s="6" t="s">
        <v>33</v>
      </c>
      <c r="L28" s="6"/>
      <c r="M28" s="6"/>
      <c r="N28" s="19"/>
    </row>
    <row r="29" spans="1:22">
      <c r="A29" s="5"/>
      <c r="B29" s="6" t="s">
        <v>5</v>
      </c>
      <c r="C29" s="265" t="s">
        <v>83</v>
      </c>
      <c r="D29" s="265"/>
      <c r="E29" s="265"/>
      <c r="F29" s="210" t="s">
        <v>28</v>
      </c>
      <c r="G29" s="265" t="s">
        <v>83</v>
      </c>
      <c r="H29" s="265"/>
      <c r="I29" s="265"/>
      <c r="J29" s="18"/>
      <c r="K29" s="6" t="s">
        <v>33</v>
      </c>
      <c r="L29" s="6"/>
      <c r="M29" s="6"/>
      <c r="N29" s="19"/>
    </row>
    <row r="30" spans="1:22">
      <c r="A30" s="5"/>
      <c r="B30" s="6" t="s">
        <v>5</v>
      </c>
      <c r="C30" s="265" t="s">
        <v>60</v>
      </c>
      <c r="D30" s="265"/>
      <c r="E30" s="265"/>
      <c r="F30" s="210" t="s">
        <v>28</v>
      </c>
      <c r="G30" s="265" t="s">
        <v>59</v>
      </c>
      <c r="H30" s="265"/>
      <c r="I30" s="265"/>
      <c r="J30" s="20"/>
      <c r="K30" s="6" t="s">
        <v>33</v>
      </c>
      <c r="L30" s="6"/>
      <c r="M30" s="6"/>
      <c r="N30" s="12"/>
    </row>
    <row r="31" spans="1:22">
      <c r="A31" s="5"/>
      <c r="B31" s="6" t="s">
        <v>5</v>
      </c>
      <c r="C31" s="265"/>
      <c r="D31" s="265"/>
      <c r="E31" s="265"/>
      <c r="F31" s="210" t="s">
        <v>28</v>
      </c>
      <c r="G31" s="265"/>
      <c r="H31" s="265"/>
      <c r="I31" s="265"/>
      <c r="J31" s="20"/>
      <c r="K31" s="6" t="s">
        <v>33</v>
      </c>
      <c r="L31" s="6"/>
      <c r="M31" s="6"/>
      <c r="N31" s="12"/>
    </row>
    <row r="32" spans="1:22">
      <c r="A32" s="5"/>
      <c r="B32" s="6" t="s">
        <v>5</v>
      </c>
      <c r="C32" s="280"/>
      <c r="D32" s="280"/>
      <c r="E32" s="280"/>
      <c r="F32" s="210" t="s">
        <v>28</v>
      </c>
      <c r="G32" s="280"/>
      <c r="H32" s="280"/>
      <c r="I32" s="280"/>
      <c r="J32" s="20"/>
      <c r="K32" s="6" t="s">
        <v>33</v>
      </c>
      <c r="L32" s="6"/>
      <c r="M32" s="6"/>
      <c r="N32" s="12"/>
    </row>
    <row r="33" spans="1:18">
      <c r="A33" s="5"/>
      <c r="B33" s="6" t="s">
        <v>5</v>
      </c>
      <c r="C33" s="280"/>
      <c r="D33" s="280"/>
      <c r="E33" s="280"/>
      <c r="F33" s="210" t="s">
        <v>28</v>
      </c>
      <c r="G33" s="265"/>
      <c r="H33" s="265"/>
      <c r="I33" s="265"/>
      <c r="J33" s="20"/>
      <c r="K33" s="6" t="s">
        <v>33</v>
      </c>
      <c r="L33" s="6"/>
      <c r="M33" s="6"/>
      <c r="N33" s="12"/>
    </row>
    <row r="34" spans="1:18">
      <c r="A34" s="5"/>
      <c r="B34" s="6" t="s">
        <v>5</v>
      </c>
      <c r="C34" s="280"/>
      <c r="D34" s="280"/>
      <c r="E34" s="280"/>
      <c r="F34" s="210" t="s">
        <v>28</v>
      </c>
      <c r="G34" s="265"/>
      <c r="H34" s="265"/>
      <c r="I34" s="265"/>
      <c r="J34" s="20"/>
      <c r="K34" s="6" t="s">
        <v>33</v>
      </c>
      <c r="L34" s="6"/>
      <c r="M34" s="6"/>
      <c r="N34" s="12"/>
    </row>
    <row r="35" spans="1:18">
      <c r="A35" s="5"/>
      <c r="B35" s="6" t="s">
        <v>5</v>
      </c>
      <c r="C35" s="280"/>
      <c r="D35" s="280"/>
      <c r="E35" s="280"/>
      <c r="F35" s="210" t="s">
        <v>28</v>
      </c>
      <c r="G35" s="265"/>
      <c r="H35" s="265"/>
      <c r="I35" s="265"/>
      <c r="J35" s="21"/>
      <c r="K35" s="6" t="s">
        <v>33</v>
      </c>
      <c r="L35" s="6"/>
      <c r="M35" s="6"/>
      <c r="N35" s="12"/>
    </row>
    <row r="36" spans="1:18">
      <c r="A36" s="5"/>
      <c r="B36" s="6"/>
      <c r="C36" s="256"/>
      <c r="D36" s="256"/>
      <c r="E36" s="256"/>
      <c r="F36" s="210"/>
      <c r="G36" s="256"/>
      <c r="H36" s="256"/>
      <c r="I36" s="256"/>
      <c r="J36" s="22">
        <f>J28+J29+J30+J31+J32+J33+J34+J35</f>
        <v>0</v>
      </c>
      <c r="K36" s="6"/>
      <c r="L36" s="6"/>
      <c r="M36" s="23"/>
      <c r="N36" s="24"/>
    </row>
    <row r="37" spans="1:18">
      <c r="A37" s="5"/>
      <c r="B37" s="6"/>
      <c r="C37" s="6"/>
      <c r="D37" s="6"/>
      <c r="E37" s="6"/>
      <c r="F37" s="6"/>
      <c r="G37" s="6"/>
      <c r="H37" s="256" t="s">
        <v>34</v>
      </c>
      <c r="I37" s="256"/>
      <c r="J37" s="25">
        <v>0.97</v>
      </c>
      <c r="K37" s="6"/>
      <c r="L37" s="214"/>
      <c r="M37" s="290">
        <f>M26</f>
        <v>4995</v>
      </c>
      <c r="N37" s="291"/>
    </row>
    <row r="38" spans="1:18">
      <c r="A38" s="5"/>
      <c r="B38" s="6" t="s">
        <v>35</v>
      </c>
      <c r="C38" s="6"/>
      <c r="D38" s="6"/>
      <c r="E38" s="6"/>
      <c r="F38" s="6"/>
      <c r="G38" s="6"/>
      <c r="H38" s="210"/>
      <c r="I38" s="210"/>
      <c r="J38" s="25"/>
      <c r="K38" s="6"/>
      <c r="L38" s="212" t="s">
        <v>36</v>
      </c>
      <c r="M38" s="292">
        <v>1</v>
      </c>
      <c r="N38" s="293"/>
      <c r="R38" s="4" t="s">
        <v>37</v>
      </c>
    </row>
    <row r="39" spans="1:18">
      <c r="A39" s="5"/>
      <c r="B39" s="6"/>
      <c r="C39" s="6"/>
      <c r="D39" s="6"/>
      <c r="E39" s="6"/>
      <c r="F39" s="6"/>
      <c r="G39" s="294"/>
      <c r="H39" s="294"/>
      <c r="I39" s="294"/>
      <c r="J39" s="294"/>
      <c r="K39" s="294" t="s">
        <v>38</v>
      </c>
      <c r="L39" s="295"/>
      <c r="M39" s="292">
        <v>0</v>
      </c>
      <c r="N39" s="293"/>
      <c r="P39" s="256"/>
      <c r="Q39" s="256"/>
    </row>
    <row r="40" spans="1:18">
      <c r="A40" s="5"/>
      <c r="B40" s="26"/>
      <c r="C40" s="27" t="s">
        <v>39</v>
      </c>
      <c r="D40" s="28"/>
      <c r="E40" s="28"/>
      <c r="F40" s="28"/>
      <c r="G40" s="29"/>
      <c r="H40" s="30"/>
      <c r="I40" s="30"/>
      <c r="J40" s="31"/>
      <c r="K40" s="31"/>
      <c r="L40" s="212" t="s">
        <v>32</v>
      </c>
      <c r="M40" s="286">
        <f>J36*J37</f>
        <v>0</v>
      </c>
      <c r="N40" s="296"/>
      <c r="P40" s="32"/>
      <c r="Q40" s="6"/>
    </row>
    <row r="41" spans="1:18">
      <c r="A41" s="5"/>
      <c r="B41" s="33"/>
      <c r="C41" s="7"/>
      <c r="D41" s="6"/>
      <c r="E41" s="6"/>
      <c r="F41" s="6"/>
      <c r="G41" s="34"/>
      <c r="H41" s="30"/>
      <c r="I41" s="30"/>
      <c r="J41" s="31"/>
      <c r="K41" s="31"/>
      <c r="L41" s="212" t="s">
        <v>40</v>
      </c>
      <c r="M41" s="286">
        <v>0</v>
      </c>
      <c r="N41" s="296"/>
      <c r="P41" s="32"/>
      <c r="Q41" s="6"/>
    </row>
    <row r="42" spans="1:18">
      <c r="A42" s="5"/>
      <c r="B42" s="33"/>
      <c r="C42" s="7"/>
      <c r="D42" s="6"/>
      <c r="E42" s="6"/>
      <c r="F42" s="6"/>
      <c r="G42" s="34"/>
      <c r="H42" s="30"/>
      <c r="I42" s="30"/>
      <c r="J42" s="31"/>
      <c r="K42" s="31"/>
      <c r="L42" s="212" t="s">
        <v>41</v>
      </c>
      <c r="M42" s="286">
        <v>0</v>
      </c>
      <c r="N42" s="296"/>
      <c r="P42" s="32"/>
      <c r="Q42" s="6"/>
    </row>
    <row r="43" spans="1:18">
      <c r="A43" s="5"/>
      <c r="B43" s="33" t="s">
        <v>42</v>
      </c>
      <c r="C43" s="6"/>
      <c r="D43" s="6"/>
      <c r="E43" s="214"/>
      <c r="F43" s="297">
        <v>0</v>
      </c>
      <c r="G43" s="298"/>
      <c r="H43" s="212"/>
      <c r="I43" s="212"/>
      <c r="J43" s="212"/>
      <c r="K43" s="6" t="s">
        <v>43</v>
      </c>
      <c r="L43" s="214"/>
      <c r="M43" s="266">
        <f>SUM(M37+M39+M40)+M41+M42</f>
        <v>4995</v>
      </c>
      <c r="N43" s="267"/>
      <c r="O43" s="35"/>
      <c r="P43" s="32"/>
      <c r="Q43" s="10"/>
    </row>
    <row r="44" spans="1:18">
      <c r="A44" s="5"/>
      <c r="B44" s="33" t="s">
        <v>44</v>
      </c>
      <c r="C44" s="6"/>
      <c r="D44" s="6"/>
      <c r="E44" s="214"/>
      <c r="F44" s="299">
        <v>0</v>
      </c>
      <c r="G44" s="300"/>
      <c r="H44" s="212"/>
      <c r="I44" s="212"/>
      <c r="J44" s="212"/>
      <c r="K44" s="6" t="s">
        <v>45</v>
      </c>
      <c r="L44" s="214"/>
      <c r="M44" s="266"/>
      <c r="N44" s="267"/>
      <c r="P44" s="32"/>
      <c r="Q44" s="10"/>
    </row>
    <row r="45" spans="1:18">
      <c r="A45" s="5"/>
      <c r="B45" s="33" t="s">
        <v>46</v>
      </c>
      <c r="C45" s="6"/>
      <c r="D45" s="6"/>
      <c r="E45" s="214"/>
      <c r="F45" s="301">
        <f>F43+F44</f>
        <v>0</v>
      </c>
      <c r="G45" s="302"/>
      <c r="H45" s="212"/>
      <c r="I45" s="212"/>
      <c r="J45" s="212"/>
      <c r="K45" s="6"/>
      <c r="L45" s="214"/>
      <c r="M45" s="36"/>
      <c r="N45" s="37"/>
      <c r="P45" s="32"/>
      <c r="Q45" s="38"/>
    </row>
    <row r="46" spans="1:18">
      <c r="A46" s="5"/>
      <c r="B46" s="33" t="s">
        <v>47</v>
      </c>
      <c r="C46" s="6"/>
      <c r="D46" s="6"/>
      <c r="E46" s="214"/>
      <c r="F46" s="299">
        <v>0</v>
      </c>
      <c r="G46" s="300"/>
      <c r="H46" s="212"/>
      <c r="I46" s="212"/>
      <c r="J46" s="212"/>
      <c r="K46" s="6"/>
      <c r="L46" s="214"/>
      <c r="M46" s="36"/>
      <c r="N46" s="37"/>
      <c r="P46" s="32"/>
      <c r="Q46" s="10"/>
    </row>
    <row r="47" spans="1:18">
      <c r="A47" s="5"/>
      <c r="B47" s="33" t="s">
        <v>46</v>
      </c>
      <c r="C47" s="6"/>
      <c r="D47" s="6"/>
      <c r="E47" s="214"/>
      <c r="F47" s="301">
        <f>F45+F46</f>
        <v>0</v>
      </c>
      <c r="G47" s="302"/>
      <c r="H47" s="212"/>
      <c r="I47" s="212"/>
      <c r="J47" s="212"/>
      <c r="K47" s="6"/>
      <c r="L47" s="214"/>
      <c r="M47" s="36"/>
      <c r="N47" s="37"/>
      <c r="P47" s="32"/>
      <c r="Q47" s="10"/>
    </row>
    <row r="48" spans="1:18">
      <c r="A48" s="5"/>
      <c r="B48" s="33" t="s">
        <v>32</v>
      </c>
      <c r="C48" s="6"/>
      <c r="D48" s="6"/>
      <c r="E48" s="214"/>
      <c r="F48" s="297">
        <v>0</v>
      </c>
      <c r="G48" s="298"/>
      <c r="H48" s="6"/>
      <c r="I48" s="26" t="s">
        <v>48</v>
      </c>
      <c r="J48" s="28"/>
      <c r="K48" s="28"/>
      <c r="L48" s="28"/>
      <c r="M48" s="28"/>
      <c r="N48" s="39"/>
      <c r="P48" s="32"/>
      <c r="Q48" s="10"/>
    </row>
    <row r="49" spans="1:17">
      <c r="A49" s="5"/>
      <c r="B49" s="33" t="s">
        <v>49</v>
      </c>
      <c r="C49" s="6"/>
      <c r="D49" s="6"/>
      <c r="E49" s="214"/>
      <c r="F49" s="299">
        <v>0</v>
      </c>
      <c r="G49" s="300"/>
      <c r="H49" s="6"/>
      <c r="I49" s="40"/>
      <c r="J49" s="41"/>
      <c r="K49" s="41"/>
      <c r="L49" s="41"/>
      <c r="M49" s="41"/>
      <c r="N49" s="42"/>
      <c r="P49" s="6"/>
      <c r="Q49" s="6"/>
    </row>
    <row r="50" spans="1:17">
      <c r="A50" s="5"/>
      <c r="B50" s="33" t="s">
        <v>41</v>
      </c>
      <c r="C50" s="6"/>
      <c r="D50" s="6"/>
      <c r="E50" s="214" t="s">
        <v>50</v>
      </c>
      <c r="F50" s="299">
        <v>0</v>
      </c>
      <c r="G50" s="300"/>
      <c r="H50" s="6"/>
      <c r="I50" s="40"/>
      <c r="J50" s="41"/>
      <c r="K50" s="41"/>
      <c r="L50" s="41"/>
      <c r="M50" s="41"/>
      <c r="N50" s="42"/>
      <c r="P50" s="6"/>
      <c r="Q50" s="6"/>
    </row>
    <row r="51" spans="1:17">
      <c r="A51" s="5"/>
      <c r="B51" s="33" t="s">
        <v>51</v>
      </c>
      <c r="C51" s="6"/>
      <c r="D51" s="6"/>
      <c r="E51" s="214"/>
      <c r="F51" s="299">
        <v>0</v>
      </c>
      <c r="G51" s="300"/>
      <c r="H51" s="43"/>
      <c r="I51" s="40"/>
      <c r="J51" s="41"/>
      <c r="K51" s="41"/>
      <c r="L51" s="41"/>
      <c r="M51" s="41"/>
      <c r="N51" s="42"/>
      <c r="P51" s="256"/>
      <c r="Q51" s="256"/>
    </row>
    <row r="52" spans="1:17">
      <c r="A52" s="5"/>
      <c r="B52" s="33" t="s">
        <v>45</v>
      </c>
      <c r="C52" s="6"/>
      <c r="D52" s="6"/>
      <c r="E52" s="214"/>
      <c r="F52" s="299">
        <f>SUM(F47:G51)</f>
        <v>0</v>
      </c>
      <c r="G52" s="300"/>
      <c r="H52" s="6"/>
      <c r="I52" s="40"/>
      <c r="J52" s="41"/>
      <c r="K52" s="41"/>
      <c r="L52" s="41"/>
      <c r="M52" s="41"/>
      <c r="N52" s="42"/>
      <c r="P52" s="32"/>
      <c r="Q52" s="6"/>
    </row>
    <row r="53" spans="1:17">
      <c r="A53" s="5"/>
      <c r="B53" s="33" t="s">
        <v>52</v>
      </c>
      <c r="C53" s="6"/>
      <c r="D53" s="6"/>
      <c r="E53" s="214"/>
      <c r="F53" s="303">
        <v>0</v>
      </c>
      <c r="G53" s="304"/>
      <c r="H53" s="6"/>
      <c r="I53" s="44"/>
      <c r="J53" s="21"/>
      <c r="K53" s="21"/>
      <c r="L53" s="21"/>
      <c r="M53" s="21"/>
      <c r="N53" s="45"/>
      <c r="P53" s="32"/>
      <c r="Q53" s="6"/>
    </row>
    <row r="54" spans="1:17" ht="12" thickBot="1">
      <c r="A54" s="5"/>
      <c r="B54" s="46" t="s">
        <v>46</v>
      </c>
      <c r="C54" s="20"/>
      <c r="D54" s="20"/>
      <c r="E54" s="47"/>
      <c r="F54" s="305">
        <f>+F52+F53</f>
        <v>0</v>
      </c>
      <c r="G54" s="306"/>
      <c r="H54" s="6"/>
      <c r="I54" s="48"/>
      <c r="J54" s="21"/>
      <c r="K54" s="21"/>
      <c r="L54" s="21"/>
      <c r="M54" s="21"/>
      <c r="N54" s="45"/>
      <c r="P54" s="32"/>
      <c r="Q54" s="10"/>
    </row>
    <row r="55" spans="1:17">
      <c r="A55" s="5"/>
      <c r="B55" s="256" t="s">
        <v>53</v>
      </c>
      <c r="C55" s="256"/>
      <c r="D55" s="256"/>
      <c r="E55" s="256"/>
      <c r="F55" s="256"/>
      <c r="G55" s="256"/>
      <c r="H55" s="6"/>
      <c r="I55" s="256" t="s">
        <v>54</v>
      </c>
      <c r="J55" s="256"/>
      <c r="K55" s="256"/>
      <c r="L55" s="256"/>
      <c r="M55" s="256"/>
      <c r="N55" s="257"/>
      <c r="P55" s="32"/>
      <c r="Q55" s="10"/>
    </row>
    <row r="56" spans="1:17" ht="1.5" customHeight="1">
      <c r="A56" s="5"/>
      <c r="B56" s="210"/>
      <c r="C56" s="210"/>
      <c r="D56" s="210"/>
      <c r="E56" s="210"/>
      <c r="F56" s="210"/>
      <c r="G56" s="210"/>
      <c r="H56" s="6"/>
      <c r="I56" s="210"/>
      <c r="J56" s="210"/>
      <c r="K56" s="210"/>
      <c r="L56" s="210"/>
      <c r="M56" s="210"/>
      <c r="N56" s="211"/>
      <c r="P56" s="32"/>
      <c r="Q56" s="10"/>
    </row>
    <row r="57" spans="1:17" hidden="1">
      <c r="A57" s="5"/>
      <c r="B57" s="256"/>
      <c r="C57" s="256"/>
      <c r="D57" s="256"/>
      <c r="E57" s="256"/>
      <c r="F57" s="256"/>
      <c r="G57" s="256"/>
      <c r="H57" s="6"/>
      <c r="I57" s="6"/>
      <c r="J57" s="6"/>
      <c r="K57" s="6"/>
      <c r="L57" s="6"/>
      <c r="M57" s="6"/>
      <c r="N57" s="12"/>
      <c r="P57" s="32"/>
      <c r="Q57" s="10"/>
    </row>
    <row r="58" spans="1:17" ht="16.5" customHeight="1">
      <c r="A58" s="5"/>
      <c r="B58" s="265" t="s">
        <v>72</v>
      </c>
      <c r="C58" s="265"/>
      <c r="D58" s="265"/>
      <c r="E58" s="265"/>
      <c r="F58" s="265"/>
      <c r="G58" s="265"/>
      <c r="H58" s="6"/>
      <c r="I58" s="265" t="s">
        <v>62</v>
      </c>
      <c r="J58" s="265"/>
      <c r="K58" s="265"/>
      <c r="L58" s="265"/>
      <c r="M58" s="265"/>
      <c r="N58" s="309"/>
      <c r="P58" s="32"/>
      <c r="Q58" s="10"/>
    </row>
    <row r="59" spans="1:17">
      <c r="A59" s="5"/>
      <c r="B59" s="256" t="s">
        <v>55</v>
      </c>
      <c r="C59" s="256"/>
      <c r="D59" s="256"/>
      <c r="E59" s="256"/>
      <c r="F59" s="256"/>
      <c r="G59" s="256"/>
      <c r="H59" s="6"/>
      <c r="I59" s="256" t="s">
        <v>55</v>
      </c>
      <c r="J59" s="256"/>
      <c r="K59" s="256"/>
      <c r="L59" s="256"/>
      <c r="M59" s="256"/>
      <c r="N59" s="257"/>
      <c r="P59" s="6"/>
      <c r="Q59" s="6"/>
    </row>
    <row r="60" spans="1:17" ht="26.25" customHeight="1">
      <c r="A60" s="5"/>
      <c r="B60" s="310" t="s">
        <v>73</v>
      </c>
      <c r="C60" s="310"/>
      <c r="D60" s="310"/>
      <c r="E60" s="310"/>
      <c r="F60" s="310"/>
      <c r="G60" s="310"/>
      <c r="H60" s="6"/>
      <c r="I60" s="311" t="s">
        <v>63</v>
      </c>
      <c r="J60" s="311"/>
      <c r="K60" s="311"/>
      <c r="L60" s="311"/>
      <c r="M60" s="311"/>
      <c r="N60" s="312"/>
      <c r="P60" s="6"/>
      <c r="Q60" s="6"/>
    </row>
    <row r="61" spans="1:17" ht="2.25" customHeight="1">
      <c r="A61" s="5"/>
      <c r="B61" s="256" t="s">
        <v>56</v>
      </c>
      <c r="C61" s="256"/>
      <c r="D61" s="256"/>
      <c r="E61" s="256"/>
      <c r="F61" s="256"/>
      <c r="G61" s="256"/>
      <c r="H61" s="6"/>
      <c r="I61" s="307"/>
      <c r="J61" s="307"/>
      <c r="K61" s="307"/>
      <c r="L61" s="307"/>
      <c r="M61" s="307"/>
      <c r="N61" s="308"/>
      <c r="P61" s="6"/>
      <c r="Q61" s="6"/>
    </row>
    <row r="62" spans="1:17" ht="0.75" hidden="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/>
      <c r="P62" s="6"/>
      <c r="Q62" s="6"/>
    </row>
    <row r="63" spans="1:17" ht="14.25" customHeight="1" thickBot="1">
      <c r="A63" s="49"/>
      <c r="B63" s="50"/>
      <c r="C63" s="50"/>
      <c r="D63" s="50"/>
      <c r="E63" s="50"/>
      <c r="F63" s="50"/>
      <c r="G63" s="50"/>
      <c r="H63" s="50"/>
      <c r="I63" s="50" t="s">
        <v>57</v>
      </c>
      <c r="J63" s="50">
        <v>7862</v>
      </c>
      <c r="K63" s="50"/>
      <c r="L63" s="51"/>
      <c r="M63" s="52"/>
      <c r="N63" s="53"/>
      <c r="P63" s="6"/>
      <c r="Q63" s="6"/>
    </row>
    <row r="64" spans="1:17" ht="36" customHeight="1">
      <c r="N64" s="4" t="s">
        <v>58</v>
      </c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</sheetData>
  <mergeCells count="84">
    <mergeCell ref="B19:C19"/>
    <mergeCell ref="E19:G19"/>
    <mergeCell ref="I19:J19"/>
    <mergeCell ref="L19:M19"/>
    <mergeCell ref="M2:N2"/>
    <mergeCell ref="L3:M3"/>
    <mergeCell ref="L8:M8"/>
    <mergeCell ref="K9:L9"/>
    <mergeCell ref="M9:N9"/>
    <mergeCell ref="B11:C11"/>
    <mergeCell ref="D11:N11"/>
    <mergeCell ref="B14:N14"/>
    <mergeCell ref="B15:N15"/>
    <mergeCell ref="G17:H17"/>
    <mergeCell ref="L17:M17"/>
    <mergeCell ref="B18:N18"/>
    <mergeCell ref="C28:E28"/>
    <mergeCell ref="G28:I28"/>
    <mergeCell ref="B20:N20"/>
    <mergeCell ref="B21:E21"/>
    <mergeCell ref="F21:I21"/>
    <mergeCell ref="J21:K21"/>
    <mergeCell ref="L21:N21"/>
    <mergeCell ref="B22:E22"/>
    <mergeCell ref="F22:I22"/>
    <mergeCell ref="J22:K22"/>
    <mergeCell ref="L22:N22"/>
    <mergeCell ref="F24:G24"/>
    <mergeCell ref="F25:G25"/>
    <mergeCell ref="M25:N25"/>
    <mergeCell ref="F26:G26"/>
    <mergeCell ref="M26:N26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M37:N37"/>
    <mergeCell ref="M38:N38"/>
    <mergeCell ref="G39:J39"/>
    <mergeCell ref="K39:L39"/>
    <mergeCell ref="M39:N39"/>
    <mergeCell ref="C35:E35"/>
    <mergeCell ref="G35:I35"/>
    <mergeCell ref="C36:E36"/>
    <mergeCell ref="G36:I36"/>
    <mergeCell ref="H37:I37"/>
    <mergeCell ref="P39:Q39"/>
    <mergeCell ref="M41:N41"/>
    <mergeCell ref="M42:N42"/>
    <mergeCell ref="F43:G43"/>
    <mergeCell ref="M43:N43"/>
    <mergeCell ref="M40:N40"/>
    <mergeCell ref="F44:G44"/>
    <mergeCell ref="M44:N44"/>
    <mergeCell ref="B55:G55"/>
    <mergeCell ref="I55:N55"/>
    <mergeCell ref="F45:G45"/>
    <mergeCell ref="F46:G46"/>
    <mergeCell ref="F47:G47"/>
    <mergeCell ref="F48:G48"/>
    <mergeCell ref="F49:G49"/>
    <mergeCell ref="F50:G50"/>
    <mergeCell ref="F51:G51"/>
    <mergeCell ref="P51:Q51"/>
    <mergeCell ref="F52:G52"/>
    <mergeCell ref="F53:G53"/>
    <mergeCell ref="F54:G54"/>
    <mergeCell ref="B61:G61"/>
    <mergeCell ref="I61:N61"/>
    <mergeCell ref="B57:G57"/>
    <mergeCell ref="B58:G58"/>
    <mergeCell ref="I58:N58"/>
    <mergeCell ref="B59:G59"/>
    <mergeCell ref="I59:N59"/>
    <mergeCell ref="B60:G60"/>
    <mergeCell ref="I60:N60"/>
  </mergeCells>
  <pageMargins left="0.7" right="0.7" top="0.75" bottom="0.75" header="0.3" footer="0.3"/>
  <pageSetup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36</vt:i4>
      </vt:variant>
    </vt:vector>
  </HeadingPairs>
  <TitlesOfParts>
    <vt:vector size="72" baseType="lpstr">
      <vt:lpstr>ANA PAULINA BECERRIL 58</vt:lpstr>
      <vt:lpstr>JESUS HOMERO FLORES 57</vt:lpstr>
      <vt:lpstr>ALFREDO SANCHEZ 56</vt:lpstr>
      <vt:lpstr>LUIS GONZALEZ B 54</vt:lpstr>
      <vt:lpstr>CASAR A MUÑIZ 52</vt:lpstr>
      <vt:lpstr>TERESA GUAJARDO 49</vt:lpstr>
      <vt:lpstr>JOSE MANUEL JIMENEZ 48</vt:lpstr>
      <vt:lpstr>ALFREDO SANCHEZ 47</vt:lpstr>
      <vt:lpstr>JOSE EDUARDO VEGA 46</vt:lpstr>
      <vt:lpstr>IGNACIO GALINDO RMZ 43</vt:lpstr>
      <vt:lpstr>LETICIA MARTINEZ 42</vt:lpstr>
      <vt:lpstr>JESUS HOMERO FLORES 40</vt:lpstr>
      <vt:lpstr>ALFONSO VILLARREAL 36</vt:lpstr>
      <vt:lpstr>IGNACIO GALINDO RMZ 31</vt:lpstr>
      <vt:lpstr>ARTURO VALDEZ RAMOS 28</vt:lpstr>
      <vt:lpstr>ALFREDO SANCHEZ 27</vt:lpstr>
      <vt:lpstr>JOSE EDUARDO VEGA 26</vt:lpstr>
      <vt:lpstr>LUIS GONZALEZ B 25</vt:lpstr>
      <vt:lpstr>MAYRA SOFIA DORANTES 24</vt:lpstr>
      <vt:lpstr>TERESA GUAJARDO 23</vt:lpstr>
      <vt:lpstr>JOSE MANUEL JIMENEZ 22</vt:lpstr>
      <vt:lpstr>ARTURO VALDEZ RAMOS 20</vt:lpstr>
      <vt:lpstr>JOSUE ISSAC MACIEL 18</vt:lpstr>
      <vt:lpstr>JAVIER DIEZ 17</vt:lpstr>
      <vt:lpstr>ANA PAULINA BECERRIL 16</vt:lpstr>
      <vt:lpstr>JESUS HOMERO FLORES 15</vt:lpstr>
      <vt:lpstr>JAVIER DIEZ 14</vt:lpstr>
      <vt:lpstr>MIGUEL ANGEL MEDINA 12</vt:lpstr>
      <vt:lpstr>LETICIA MARTINEZ 11</vt:lpstr>
      <vt:lpstr>IGNACIO GALINDO RMZ 10</vt:lpstr>
      <vt:lpstr>JESUS HOMERO FLORES 09</vt:lpstr>
      <vt:lpstr>ALFREDO SANCHEZ 08</vt:lpstr>
      <vt:lpstr>JOSE EDUARDO VEGA 07</vt:lpstr>
      <vt:lpstr>TERESA GUAJARDO 03</vt:lpstr>
      <vt:lpstr>ALFREDO SANCHEZ 02</vt:lpstr>
      <vt:lpstr>JOSE EDUARDO VEGA 01</vt:lpstr>
      <vt:lpstr>'ALFONSO VILLARREAL 36'!Área_de_impresión</vt:lpstr>
      <vt:lpstr>'ALFREDO SANCHEZ 02'!Área_de_impresión</vt:lpstr>
      <vt:lpstr>'ALFREDO SANCHEZ 08'!Área_de_impresión</vt:lpstr>
      <vt:lpstr>'ALFREDO SANCHEZ 27'!Área_de_impresión</vt:lpstr>
      <vt:lpstr>'ALFREDO SANCHEZ 47'!Área_de_impresión</vt:lpstr>
      <vt:lpstr>'ALFREDO SANCHEZ 56'!Área_de_impresión</vt:lpstr>
      <vt:lpstr>'ANA PAULINA BECERRIL 16'!Área_de_impresión</vt:lpstr>
      <vt:lpstr>'ANA PAULINA BECERRIL 58'!Área_de_impresión</vt:lpstr>
      <vt:lpstr>'ARTURO VALDEZ RAMOS 20'!Área_de_impresión</vt:lpstr>
      <vt:lpstr>'ARTURO VALDEZ RAMOS 28'!Área_de_impresión</vt:lpstr>
      <vt:lpstr>'CASAR A MUÑIZ 52'!Área_de_impresión</vt:lpstr>
      <vt:lpstr>'IGNACIO GALINDO RMZ 10'!Área_de_impresión</vt:lpstr>
      <vt:lpstr>'IGNACIO GALINDO RMZ 31'!Área_de_impresión</vt:lpstr>
      <vt:lpstr>'IGNACIO GALINDO RMZ 43'!Área_de_impresión</vt:lpstr>
      <vt:lpstr>'JAVIER DIEZ 14'!Área_de_impresión</vt:lpstr>
      <vt:lpstr>'JAVIER DIEZ 17'!Área_de_impresión</vt:lpstr>
      <vt:lpstr>'JESUS HOMERO FLORES 09'!Área_de_impresión</vt:lpstr>
      <vt:lpstr>'JESUS HOMERO FLORES 15'!Área_de_impresión</vt:lpstr>
      <vt:lpstr>'JESUS HOMERO FLORES 40'!Área_de_impresión</vt:lpstr>
      <vt:lpstr>'JESUS HOMERO FLORES 57'!Área_de_impresión</vt:lpstr>
      <vt:lpstr>'JOSE EDUARDO VEGA 01'!Área_de_impresión</vt:lpstr>
      <vt:lpstr>'JOSE EDUARDO VEGA 07'!Área_de_impresión</vt:lpstr>
      <vt:lpstr>'JOSE EDUARDO VEGA 26'!Área_de_impresión</vt:lpstr>
      <vt:lpstr>'JOSE EDUARDO VEGA 46'!Área_de_impresión</vt:lpstr>
      <vt:lpstr>'JOSE MANUEL JIMENEZ 22'!Área_de_impresión</vt:lpstr>
      <vt:lpstr>'JOSE MANUEL JIMENEZ 48'!Área_de_impresión</vt:lpstr>
      <vt:lpstr>'JOSUE ISSAC MACIEL 18'!Área_de_impresión</vt:lpstr>
      <vt:lpstr>'LETICIA MARTINEZ 11'!Área_de_impresión</vt:lpstr>
      <vt:lpstr>'LETICIA MARTINEZ 42'!Área_de_impresión</vt:lpstr>
      <vt:lpstr>'LUIS GONZALEZ B 25'!Área_de_impresión</vt:lpstr>
      <vt:lpstr>'LUIS GONZALEZ B 54'!Área_de_impresión</vt:lpstr>
      <vt:lpstr>'MAYRA SOFIA DORANTES 24'!Área_de_impresión</vt:lpstr>
      <vt:lpstr>'MIGUEL ANGEL MEDINA 12'!Área_de_impresión</vt:lpstr>
      <vt:lpstr>'TERESA GUAJARDO 03'!Área_de_impresión</vt:lpstr>
      <vt:lpstr>'TERESA GUAJARDO 23'!Área_de_impresión</vt:lpstr>
      <vt:lpstr>'TERESA GUAJARDO 49'!Área_de_impresión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ESCRITORIO27</cp:lastModifiedBy>
  <cp:lastPrinted>2016-03-01T17:05:16Z</cp:lastPrinted>
  <dcterms:created xsi:type="dcterms:W3CDTF">2015-11-02T19:35:45Z</dcterms:created>
  <dcterms:modified xsi:type="dcterms:W3CDTF">2016-03-03T16:40:09Z</dcterms:modified>
</cp:coreProperties>
</file>